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0730" windowHeight="11760" tabRatio="902" activeTab="4"/>
  </bookViews>
  <sheets>
    <sheet name="Январь 2013" sheetId="1" r:id="rId1"/>
    <sheet name="Февраль 2013" sheetId="2" r:id="rId2"/>
    <sheet name="Март 2013" sheetId="3" r:id="rId3"/>
    <sheet name="апрель 2013" sheetId="4" r:id="rId4"/>
    <sheet name="Май 2013" sheetId="5" r:id="rId5"/>
    <sheet name="Июнь 2013" sheetId="6" r:id="rId6"/>
    <sheet name="Июль 2013" sheetId="7" r:id="rId7"/>
    <sheet name="Август 2013" sheetId="8" r:id="rId8"/>
    <sheet name="Сентябрь 2013" sheetId="9" r:id="rId9"/>
    <sheet name="Октябрь 2013" sheetId="10" r:id="rId10"/>
    <sheet name="Ноябрь 2013" sheetId="11" r:id="rId11"/>
    <sheet name="Декабрь 2013" sheetId="12" r:id="rId12"/>
    <sheet name="Лист1" sheetId="13" r:id="rId13"/>
  </sheets>
  <definedNames>
    <definedName name="_xlnm.Print_Area" localSheetId="7">'Август 2013'!$A$1:$H$24</definedName>
    <definedName name="_xlnm.Print_Area" localSheetId="3">'апрель 2013'!$A$1:$H$25</definedName>
  </definedNames>
  <calcPr fullCalcOnLoad="1"/>
</workbook>
</file>

<file path=xl/sharedStrings.xml><?xml version="1.0" encoding="utf-8"?>
<sst xmlns="http://schemas.openxmlformats.org/spreadsheetml/2006/main" count="539" uniqueCount="124">
  <si>
    <t>Расход по кассе за апрель 2013г.</t>
  </si>
  <si>
    <t xml:space="preserve">Компенсация за неиспользованный отпуск </t>
  </si>
  <si>
    <t>Зарплата выдана в апреле 2013г.</t>
  </si>
  <si>
    <t>Оплата проезда</t>
  </si>
  <si>
    <t>Товар</t>
  </si>
  <si>
    <t>Оплата парковки</t>
  </si>
  <si>
    <t>Авто/запчасти</t>
  </si>
  <si>
    <t>Корм коту Тому</t>
  </si>
  <si>
    <t xml:space="preserve">Покупка цветов на день рождение </t>
  </si>
  <si>
    <t>Почтовые расходы</t>
  </si>
  <si>
    <t>Услуги нотариуса</t>
  </si>
  <si>
    <t>Возмещение бензина</t>
  </si>
  <si>
    <t>Возмещение ремонта машины Исаев А.</t>
  </si>
  <si>
    <t>Строит-ые матер-лы для склада</t>
  </si>
  <si>
    <t>Итого:</t>
  </si>
  <si>
    <t>Расходы внутренней кассы</t>
  </si>
  <si>
    <t xml:space="preserve">Инкассация в банк </t>
  </si>
  <si>
    <t>Подотчет Кабанову Н.Н.</t>
  </si>
  <si>
    <t>Официально</t>
  </si>
  <si>
    <t>-</t>
  </si>
  <si>
    <t>ИТОГО:</t>
  </si>
  <si>
    <t>Расходы офиса и склада (коробки для склада, лекарства офис)</t>
  </si>
  <si>
    <t>Транспортные расходы Егорову В.А. (таможня)</t>
  </si>
  <si>
    <t>Не проведено</t>
  </si>
  <si>
    <t>Приход</t>
  </si>
  <si>
    <t>Расход</t>
  </si>
  <si>
    <t>Наименование</t>
  </si>
  <si>
    <t>ВСЕГО:</t>
  </si>
  <si>
    <t>Остаток на 01.04.2013г.</t>
  </si>
  <si>
    <t>Остаток на 01.05.2013г.</t>
  </si>
  <si>
    <t>Касса организации и операционная касса</t>
  </si>
  <si>
    <t>Наличными</t>
  </si>
  <si>
    <t>Чек из банка</t>
  </si>
  <si>
    <t>Возмещение материального ущерба (Чернов И.)</t>
  </si>
  <si>
    <t>Возмещение налоги от Иноземцевой Н.А.</t>
  </si>
  <si>
    <t>Коробки для склада, лекарство в офис</t>
  </si>
  <si>
    <t>Возмещение ремонта личной машины Исаев А.</t>
  </si>
  <si>
    <t>Ремонт склада (Егоров В.А.)</t>
  </si>
  <si>
    <t>Проездные</t>
  </si>
  <si>
    <t>Парковка</t>
  </si>
  <si>
    <t>Бензин</t>
  </si>
  <si>
    <t xml:space="preserve">Цветы на день рождение </t>
  </si>
  <si>
    <t>Нотариус</t>
  </si>
  <si>
    <t>Остаток на 01.06.2013г.</t>
  </si>
  <si>
    <t>Остаток на 01.07.2013г.</t>
  </si>
  <si>
    <t>Апрель 2013г.</t>
  </si>
  <si>
    <t>Зарплата выдана в мае 2013г.</t>
  </si>
  <si>
    <t>Егорову В.А. (таможня)</t>
  </si>
  <si>
    <t xml:space="preserve">Обед с новым сотрудником, вода в офис </t>
  </si>
  <si>
    <t>Май 2013г.</t>
  </si>
  <si>
    <t xml:space="preserve">Коробки для склада, обед нового сотрудника, вода в офис, замена картриджа </t>
  </si>
  <si>
    <t xml:space="preserve">Бугай В.А. зарплата </t>
  </si>
  <si>
    <t>Июнь 2013г.</t>
  </si>
  <si>
    <t>Остаток на 01.08.2013г.</t>
  </si>
  <si>
    <t>Остаток на 01.01.2013г.</t>
  </si>
  <si>
    <t>Январь 2013г.</t>
  </si>
  <si>
    <t>Остаток на 01.02.2013г.</t>
  </si>
  <si>
    <t>Остаток на 01.03.2013г.</t>
  </si>
  <si>
    <t>Февраль 2013г.</t>
  </si>
  <si>
    <t>Март  2013г.</t>
  </si>
  <si>
    <t>Зарплата выдана в марте 2013г.</t>
  </si>
  <si>
    <t>Зарплата выдана в июне 2013г.</t>
  </si>
  <si>
    <t>Зарплата выдана в январе 2013г.</t>
  </si>
  <si>
    <t>Зарплата выдана в феврале 2013г.</t>
  </si>
  <si>
    <t>Коробки для склада</t>
  </si>
  <si>
    <t>Теду Стерну</t>
  </si>
  <si>
    <t>Игоземцевой Н.А.</t>
  </si>
  <si>
    <t>Заказная машина</t>
  </si>
  <si>
    <t>Авто/запчасти, шиномонтаж</t>
  </si>
  <si>
    <t>Расходы на офис, склад</t>
  </si>
  <si>
    <t>Инкасация в банк</t>
  </si>
  <si>
    <t>Компенсация за неиспользованный отпуск</t>
  </si>
  <si>
    <t>Зарплата выдана в июле 2013г.</t>
  </si>
  <si>
    <t>Июль 2013г.</t>
  </si>
  <si>
    <t>Такси Вергус С.В.</t>
  </si>
  <si>
    <t>Цветы сотруднику на день рожденье</t>
  </si>
  <si>
    <t xml:space="preserve">Заказная машина </t>
  </si>
  <si>
    <t>Windows 8, переходник, обед</t>
  </si>
  <si>
    <t>Шиномонтаж</t>
  </si>
  <si>
    <t>Август 2013г.</t>
  </si>
  <si>
    <t>Остаток на 01.09.2013г.</t>
  </si>
  <si>
    <t>Остаток на 01.10.2013г.</t>
  </si>
  <si>
    <t>Сентябрь 2013г.</t>
  </si>
  <si>
    <t>Остаток на 01.11.2013г.</t>
  </si>
  <si>
    <t>Октябрь 2013г.</t>
  </si>
  <si>
    <t>Ноябрь 2013г.</t>
  </si>
  <si>
    <t>Остаток на 01.12.2013г.</t>
  </si>
  <si>
    <t>Остаток на 01.01.2014г.</t>
  </si>
  <si>
    <t>Декабрь 2013г.</t>
  </si>
  <si>
    <t>Зарплата выдана в августе 2013г.</t>
  </si>
  <si>
    <t>Зарплата выдана в сентябре 2013г.</t>
  </si>
  <si>
    <t>Зарплата выдана в октябре 2013г.</t>
  </si>
  <si>
    <t>Зарплата выдана в ноябре 2013г.</t>
  </si>
  <si>
    <t>Зарплата выдана в декабре 2013г.</t>
  </si>
  <si>
    <t>Представительские расходы</t>
  </si>
  <si>
    <t>Дата</t>
  </si>
  <si>
    <t>Компания</t>
  </si>
  <si>
    <t>Цветы клиенту, компания ООО "ВФ Си-Ай-Эс"</t>
  </si>
  <si>
    <t>Обед сотрудников 03.08.2013г.</t>
  </si>
  <si>
    <t xml:space="preserve">Лекарство в офис </t>
  </si>
  <si>
    <t>Грунт для цветов в офисе</t>
  </si>
  <si>
    <t>Обед с новым сотрудником</t>
  </si>
  <si>
    <t>Эвакуатор, мойка автомобиля</t>
  </si>
  <si>
    <t>Проведенно</t>
  </si>
  <si>
    <t xml:space="preserve">Не проведенно </t>
  </si>
  <si>
    <t>АДВ</t>
  </si>
  <si>
    <t>ООО "Випро"</t>
  </si>
  <si>
    <t>не из кассы</t>
  </si>
  <si>
    <t>из кассы</t>
  </si>
  <si>
    <t>30.08.201</t>
  </si>
  <si>
    <t>Росэкспертиза 26.08</t>
  </si>
  <si>
    <t>Представительские расходы комп-ия АДВ</t>
  </si>
  <si>
    <t>за землю</t>
  </si>
  <si>
    <t>мойка машин</t>
  </si>
  <si>
    <t>для склада (замазка оконная)</t>
  </si>
  <si>
    <t>пособие</t>
  </si>
  <si>
    <t>возмещения тех осмотра</t>
  </si>
  <si>
    <t>диагностика принтера</t>
  </si>
  <si>
    <t>приход с миц 091365п</t>
  </si>
  <si>
    <t>обед сотрудников в субботу 14.09.13(каталог)</t>
  </si>
  <si>
    <t>представительские расходы</t>
  </si>
  <si>
    <t>излишек при пересчете кассы</t>
  </si>
  <si>
    <t>Недостача в кассе,возмещ.из компенс.за неисп.отпуск Черненко Т.</t>
  </si>
  <si>
    <t>возмещ.обеда на выставке "Скрепка" 10.09.13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</si>
</sst>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b/>
      <sz val="11"/>
      <name val="Arial Cyr"/>
      <family val="0"/>
    </font>
    <font>
      <sz val="14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9">
    <xf numFmtId="0" fontId="0" fillId="0" borderId="0" xfId="0" applyAlignment="1">
      <alignment/>
    </xf>
    <xf numFmtId="4" fontId="0" fillId="0" borderId="0" xfId="0" applyNumberFormat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 wrapText="1"/>
    </xf>
    <xf numFmtId="4" fontId="0" fillId="0" borderId="10" xfId="0" applyNumberFormat="1" applyBorder="1" applyAlignment="1">
      <alignment horizontal="left"/>
    </xf>
    <xf numFmtId="4" fontId="0" fillId="0" borderId="10" xfId="0" applyNumberFormat="1" applyBorder="1" applyAlignment="1">
      <alignment horizontal="left" wrapText="1"/>
    </xf>
    <xf numFmtId="4" fontId="4" fillId="0" borderId="1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/>
    </xf>
    <xf numFmtId="4" fontId="0" fillId="0" borderId="11" xfId="0" applyNumberFormat="1" applyBorder="1" applyAlignment="1">
      <alignment horizontal="left"/>
    </xf>
    <xf numFmtId="4" fontId="0" fillId="0" borderId="12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0" fontId="0" fillId="0" borderId="0" xfId="0" applyBorder="1" applyAlignment="1">
      <alignment/>
    </xf>
    <xf numFmtId="4" fontId="0" fillId="0" borderId="0" xfId="0" applyNumberFormat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14" fontId="0" fillId="0" borderId="10" xfId="0" applyNumberFormat="1" applyFon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6" fontId="0" fillId="0" borderId="10" xfId="0" applyNumberForma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left" wrapText="1"/>
    </xf>
    <xf numFmtId="49" fontId="0" fillId="0" borderId="10" xfId="0" applyNumberFormat="1" applyBorder="1" applyAlignment="1">
      <alignment horizontal="left"/>
    </xf>
    <xf numFmtId="4" fontId="1" fillId="0" borderId="11" xfId="0" applyNumberFormat="1" applyFont="1" applyBorder="1" applyAlignment="1">
      <alignment horizontal="right"/>
    </xf>
    <xf numFmtId="4" fontId="1" fillId="0" borderId="12" xfId="0" applyNumberFormat="1" applyFont="1" applyBorder="1" applyAlignment="1">
      <alignment horizontal="right"/>
    </xf>
    <xf numFmtId="4" fontId="1" fillId="0" borderId="13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4" fontId="0" fillId="0" borderId="14" xfId="0" applyNumberFormat="1" applyBorder="1" applyAlignment="1">
      <alignment horizontal="center"/>
    </xf>
    <xf numFmtId="4" fontId="5" fillId="0" borderId="11" xfId="0" applyNumberFormat="1" applyFont="1" applyBorder="1" applyAlignment="1">
      <alignment horizontal="right"/>
    </xf>
    <xf numFmtId="4" fontId="5" fillId="0" borderId="12" xfId="0" applyNumberFormat="1" applyFont="1" applyBorder="1" applyAlignment="1">
      <alignment horizontal="right"/>
    </xf>
    <xf numFmtId="4" fontId="5" fillId="0" borderId="13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 horizontal="center"/>
    </xf>
    <xf numFmtId="4" fontId="4" fillId="0" borderId="14" xfId="0" applyNumberFormat="1" applyFon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zoomScale="130" zoomScaleNormal="130" zoomScalePageLayoutView="0" workbookViewId="0" topLeftCell="A1">
      <selection activeCell="B28" sqref="B28"/>
    </sheetView>
  </sheetViews>
  <sheetFormatPr defaultColWidth="9.00390625" defaultRowHeight="12.75"/>
  <cols>
    <col min="1" max="1" width="36.75390625" style="0" customWidth="1"/>
    <col min="2" max="2" width="13.125" style="0" customWidth="1"/>
    <col min="3" max="3" width="12.125" style="0" customWidth="1"/>
    <col min="4" max="4" width="11.875" style="0" customWidth="1"/>
    <col min="5" max="5" width="29.875" style="0" customWidth="1"/>
    <col min="6" max="6" width="13.25390625" style="0" customWidth="1"/>
    <col min="7" max="7" width="12.125" style="0" customWidth="1"/>
    <col min="8" max="8" width="14.00390625" style="0" customWidth="1"/>
  </cols>
  <sheetData>
    <row r="1" spans="1:8" ht="12.75">
      <c r="A1" s="40" t="s">
        <v>55</v>
      </c>
      <c r="B1" s="40"/>
      <c r="C1" s="40"/>
      <c r="D1" s="40"/>
      <c r="E1" s="40"/>
      <c r="F1" s="40"/>
      <c r="G1" s="40"/>
      <c r="H1" s="40"/>
    </row>
    <row r="2" spans="1:8" ht="18">
      <c r="A2" s="41" t="s">
        <v>54</v>
      </c>
      <c r="B2" s="42"/>
      <c r="C2" s="42"/>
      <c r="D2" s="42"/>
      <c r="E2" s="42"/>
      <c r="F2" s="42"/>
      <c r="G2" s="43"/>
      <c r="H2" s="10">
        <v>55313.6</v>
      </c>
    </row>
    <row r="3" spans="1:8" ht="18">
      <c r="A3" s="44" t="s">
        <v>24</v>
      </c>
      <c r="B3" s="44"/>
      <c r="C3" s="44"/>
      <c r="D3" s="44"/>
      <c r="E3" s="44" t="s">
        <v>25</v>
      </c>
      <c r="F3" s="44"/>
      <c r="G3" s="44"/>
      <c r="H3" s="44"/>
    </row>
    <row r="4" spans="1:8" ht="12.75">
      <c r="A4" s="2" t="s">
        <v>26</v>
      </c>
      <c r="B4" s="2" t="s">
        <v>23</v>
      </c>
      <c r="C4" s="2" t="s">
        <v>18</v>
      </c>
      <c r="D4" s="2" t="s">
        <v>27</v>
      </c>
      <c r="E4" s="2" t="s">
        <v>26</v>
      </c>
      <c r="F4" s="2" t="s">
        <v>23</v>
      </c>
      <c r="G4" s="2" t="s">
        <v>18</v>
      </c>
      <c r="H4" s="2" t="s">
        <v>27</v>
      </c>
    </row>
    <row r="5" spans="1:8" ht="12.75">
      <c r="A5" s="8" t="s">
        <v>30</v>
      </c>
      <c r="B5" s="3" t="s">
        <v>19</v>
      </c>
      <c r="C5" s="3">
        <v>130783.56</v>
      </c>
      <c r="D5" s="3">
        <f>SUM(B5:C5)</f>
        <v>130783.56</v>
      </c>
      <c r="E5" s="8" t="s">
        <v>62</v>
      </c>
      <c r="F5" s="3">
        <v>1381318.28</v>
      </c>
      <c r="G5" s="3">
        <v>878034.9</v>
      </c>
      <c r="H5" s="3">
        <f>SUM(F5:G5)</f>
        <v>2259353.18</v>
      </c>
    </row>
    <row r="6" spans="1:8" ht="12.75">
      <c r="A6" s="8" t="s">
        <v>31</v>
      </c>
      <c r="B6" s="3">
        <f>230000+247000+500000+200000+1070000</f>
        <v>2247000</v>
      </c>
      <c r="C6" s="3" t="s">
        <v>19</v>
      </c>
      <c r="D6" s="3">
        <f aca="true" t="shared" si="0" ref="D6:D17">SUM(B6:C6)</f>
        <v>2247000</v>
      </c>
      <c r="E6" s="8" t="s">
        <v>4</v>
      </c>
      <c r="F6" s="3" t="s">
        <v>19</v>
      </c>
      <c r="G6" s="3">
        <f>5731+8332.14+10184.83+16094.6+2756+8180.07+13911.5+18678.69+7920.48+17950.18+13098.3+11349.88+20003.22+11773.9+16920.056+17254.48+1207.9</f>
        <v>201347.226</v>
      </c>
      <c r="H6" s="3">
        <f>SUM(F6:G6)</f>
        <v>201347.226</v>
      </c>
    </row>
    <row r="7" spans="1:8" ht="12.75">
      <c r="A7" s="8" t="s">
        <v>32</v>
      </c>
      <c r="B7" s="3" t="s">
        <v>19</v>
      </c>
      <c r="C7" s="3">
        <v>878000</v>
      </c>
      <c r="D7" s="3">
        <f t="shared" si="0"/>
        <v>878000</v>
      </c>
      <c r="E7" s="8" t="s">
        <v>38</v>
      </c>
      <c r="F7" s="3">
        <f>970+227+265+195+370+515+423+228+233+424+1120</f>
        <v>4970</v>
      </c>
      <c r="G7" s="3">
        <f>4930+2550+2550+2380</f>
        <v>12410</v>
      </c>
      <c r="H7" s="3">
        <f aca="true" t="shared" si="1" ref="H7:H17">SUM(F7:G7)</f>
        <v>17380</v>
      </c>
    </row>
    <row r="8" spans="1:8" ht="12.75">
      <c r="A8" s="8"/>
      <c r="B8" s="3"/>
      <c r="C8" s="3"/>
      <c r="D8" s="3">
        <f t="shared" si="0"/>
        <v>0</v>
      </c>
      <c r="E8" s="8" t="s">
        <v>40</v>
      </c>
      <c r="F8" s="3">
        <f>696.19+1413.83+1000</f>
        <v>3110.02</v>
      </c>
      <c r="G8" s="3">
        <f>462.97+1100.74+1830.98</f>
        <v>3394.69</v>
      </c>
      <c r="H8" s="3">
        <f t="shared" si="1"/>
        <v>6504.71</v>
      </c>
    </row>
    <row r="9" spans="1:8" ht="12.75">
      <c r="A9" s="8"/>
      <c r="B9" s="3"/>
      <c r="C9" s="3"/>
      <c r="D9" s="3">
        <f t="shared" si="0"/>
        <v>0</v>
      </c>
      <c r="E9" s="8" t="s">
        <v>39</v>
      </c>
      <c r="F9" s="3" t="s">
        <v>19</v>
      </c>
      <c r="G9" s="3">
        <f>100+200+100+200+270+150+100+30</f>
        <v>1150</v>
      </c>
      <c r="H9" s="3">
        <f t="shared" si="1"/>
        <v>1150</v>
      </c>
    </row>
    <row r="10" spans="1:8" ht="12.75">
      <c r="A10" s="8"/>
      <c r="B10" s="3"/>
      <c r="C10" s="3"/>
      <c r="D10" s="3">
        <f t="shared" si="0"/>
        <v>0</v>
      </c>
      <c r="E10" s="8" t="s">
        <v>9</v>
      </c>
      <c r="F10" s="3" t="s">
        <v>19</v>
      </c>
      <c r="G10" s="3">
        <f>2000+69.2</f>
        <v>2069.2</v>
      </c>
      <c r="H10" s="3">
        <f t="shared" si="1"/>
        <v>2069.2</v>
      </c>
    </row>
    <row r="11" spans="1:8" ht="12.75">
      <c r="A11" s="8"/>
      <c r="B11" s="3"/>
      <c r="C11" s="3"/>
      <c r="D11" s="3">
        <f t="shared" si="0"/>
        <v>0</v>
      </c>
      <c r="E11" s="9" t="s">
        <v>64</v>
      </c>
      <c r="F11" s="3">
        <f>2000+4700+2000</f>
        <v>8700</v>
      </c>
      <c r="G11" s="3" t="s">
        <v>19</v>
      </c>
      <c r="H11" s="3">
        <f t="shared" si="1"/>
        <v>8700</v>
      </c>
    </row>
    <row r="12" spans="1:8" ht="12.75">
      <c r="A12" s="8"/>
      <c r="B12" s="3"/>
      <c r="C12" s="3"/>
      <c r="D12" s="3">
        <f t="shared" si="0"/>
        <v>0</v>
      </c>
      <c r="E12" s="8" t="s">
        <v>65</v>
      </c>
      <c r="F12" s="3">
        <f>900+4050+31308.3+16824+14675.8+54+5064.53+19580.11+434.89+8107.68+4973+16968+5000</f>
        <v>127940.31</v>
      </c>
      <c r="G12" s="3" t="s">
        <v>19</v>
      </c>
      <c r="H12" s="3">
        <f t="shared" si="1"/>
        <v>127940.31</v>
      </c>
    </row>
    <row r="13" spans="1:8" ht="12.75">
      <c r="A13" s="8"/>
      <c r="B13" s="3"/>
      <c r="C13" s="3"/>
      <c r="D13" s="3">
        <f t="shared" si="0"/>
        <v>0</v>
      </c>
      <c r="E13" s="8" t="s">
        <v>66</v>
      </c>
      <c r="F13" s="3">
        <f>55000+25000+10000+25000+10000+10000+7000+15000</f>
        <v>157000</v>
      </c>
      <c r="G13" s="3" t="s">
        <v>19</v>
      </c>
      <c r="H13" s="3">
        <f t="shared" si="1"/>
        <v>157000</v>
      </c>
    </row>
    <row r="14" spans="1:8" ht="12.75">
      <c r="A14" s="8"/>
      <c r="B14" s="3"/>
      <c r="C14" s="3"/>
      <c r="D14" s="3">
        <f t="shared" si="0"/>
        <v>0</v>
      </c>
      <c r="E14" s="8" t="s">
        <v>67</v>
      </c>
      <c r="F14" s="3">
        <f>3528+5234+2953+3028+4228+3528+3178+7084+3553+3528</f>
        <v>39842</v>
      </c>
      <c r="G14" s="3" t="s">
        <v>19</v>
      </c>
      <c r="H14" s="3">
        <f t="shared" si="1"/>
        <v>39842</v>
      </c>
    </row>
    <row r="15" spans="1:8" ht="12.75">
      <c r="A15" s="8"/>
      <c r="B15" s="3"/>
      <c r="C15" s="3"/>
      <c r="D15" s="3">
        <f t="shared" si="0"/>
        <v>0</v>
      </c>
      <c r="E15" s="8" t="s">
        <v>68</v>
      </c>
      <c r="F15" s="3" t="s">
        <v>19</v>
      </c>
      <c r="G15" s="3">
        <f>700+120</f>
        <v>820</v>
      </c>
      <c r="H15" s="3">
        <f t="shared" si="1"/>
        <v>820</v>
      </c>
    </row>
    <row r="16" spans="1:8" ht="12.75">
      <c r="A16" s="8"/>
      <c r="B16" s="3"/>
      <c r="C16" s="3"/>
      <c r="D16" s="3">
        <f t="shared" si="0"/>
        <v>0</v>
      </c>
      <c r="E16" s="8" t="s">
        <v>69</v>
      </c>
      <c r="F16" s="3">
        <f>1000</f>
        <v>1000</v>
      </c>
      <c r="G16" s="3" t="s">
        <v>19</v>
      </c>
      <c r="H16" s="3">
        <f t="shared" si="1"/>
        <v>1000</v>
      </c>
    </row>
    <row r="17" spans="1:8" ht="12.75">
      <c r="A17" s="8"/>
      <c r="B17" s="3"/>
      <c r="C17" s="3"/>
      <c r="D17" s="3">
        <f t="shared" si="0"/>
        <v>0</v>
      </c>
      <c r="E17" s="8" t="s">
        <v>70</v>
      </c>
      <c r="F17" s="3" t="s">
        <v>19</v>
      </c>
      <c r="G17" s="3">
        <f>120000</f>
        <v>120000</v>
      </c>
      <c r="H17" s="3">
        <f t="shared" si="1"/>
        <v>120000</v>
      </c>
    </row>
    <row r="18" spans="1:8" ht="12.75">
      <c r="A18" s="36" t="s">
        <v>20</v>
      </c>
      <c r="B18" s="37"/>
      <c r="C18" s="38"/>
      <c r="D18" s="2">
        <f>SUM(D5:D17)</f>
        <v>3255783.56</v>
      </c>
      <c r="E18" s="36" t="s">
        <v>20</v>
      </c>
      <c r="F18" s="37"/>
      <c r="G18" s="37"/>
      <c r="H18" s="2">
        <f>SUM(H5:H17)</f>
        <v>2943106.626</v>
      </c>
    </row>
    <row r="19" spans="1:8" ht="18">
      <c r="A19" s="39" t="s">
        <v>56</v>
      </c>
      <c r="B19" s="39"/>
      <c r="C19" s="39"/>
      <c r="D19" s="39"/>
      <c r="E19" s="39"/>
      <c r="F19" s="39"/>
      <c r="G19" s="39"/>
      <c r="H19" s="12">
        <f>H2+D18-H18</f>
        <v>367990.534</v>
      </c>
    </row>
  </sheetData>
  <sheetProtection/>
  <mergeCells count="7">
    <mergeCell ref="A18:C18"/>
    <mergeCell ref="E18:G18"/>
    <mergeCell ref="A19:G19"/>
    <mergeCell ref="A1:H1"/>
    <mergeCell ref="A2:G2"/>
    <mergeCell ref="A3:D3"/>
    <mergeCell ref="E3:H3"/>
  </mergeCells>
  <printOptions/>
  <pageMargins left="0.75" right="0.75" top="1" bottom="1" header="0.5" footer="0.5"/>
  <pageSetup horizontalDpi="600" verticalDpi="600" orientation="landscape" paperSize="9" scale="9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1"/>
  <sheetViews>
    <sheetView zoomScale="130" zoomScaleNormal="130" zoomScalePageLayoutView="0" workbookViewId="0" topLeftCell="A1">
      <selection activeCell="D37" sqref="D37"/>
    </sheetView>
  </sheetViews>
  <sheetFormatPr defaultColWidth="9.00390625" defaultRowHeight="12.75"/>
  <cols>
    <col min="1" max="1" width="36.875" style="0" customWidth="1"/>
    <col min="2" max="2" width="13.375" style="0" customWidth="1"/>
    <col min="3" max="3" width="11.375" style="0" customWidth="1"/>
    <col min="4" max="4" width="12.75390625" style="0" customWidth="1"/>
    <col min="5" max="5" width="38.25390625" style="0" customWidth="1"/>
    <col min="6" max="7" width="14.375" style="0" customWidth="1"/>
    <col min="8" max="8" width="15.75390625" style="0" customWidth="1"/>
  </cols>
  <sheetData>
    <row r="1" spans="1:8" ht="12.75">
      <c r="A1" s="47" t="s">
        <v>84</v>
      </c>
      <c r="B1" s="47"/>
      <c r="C1" s="47"/>
      <c r="D1" s="47"/>
      <c r="E1" s="47"/>
      <c r="F1" s="47"/>
      <c r="G1" s="47"/>
      <c r="H1" s="47"/>
    </row>
    <row r="2" spans="1:8" ht="18">
      <c r="A2" s="41" t="s">
        <v>81</v>
      </c>
      <c r="B2" s="42"/>
      <c r="C2" s="42"/>
      <c r="D2" s="42"/>
      <c r="E2" s="42"/>
      <c r="F2" s="42"/>
      <c r="G2" s="43"/>
      <c r="H2" s="10">
        <f>'Сентябрь 2013'!H22</f>
        <v>67529.79000000097</v>
      </c>
    </row>
    <row r="3" spans="1:8" ht="18">
      <c r="A3" s="44" t="s">
        <v>24</v>
      </c>
      <c r="B3" s="44"/>
      <c r="C3" s="44"/>
      <c r="D3" s="44"/>
      <c r="E3" s="44" t="s">
        <v>25</v>
      </c>
      <c r="F3" s="44"/>
      <c r="G3" s="44"/>
      <c r="H3" s="44"/>
    </row>
    <row r="4" spans="1:8" ht="12.75">
      <c r="A4" s="2" t="s">
        <v>26</v>
      </c>
      <c r="B4" s="2" t="s">
        <v>23</v>
      </c>
      <c r="C4" s="2" t="s">
        <v>18</v>
      </c>
      <c r="D4" s="2" t="s">
        <v>27</v>
      </c>
      <c r="E4" s="2" t="s">
        <v>26</v>
      </c>
      <c r="F4" s="2" t="s">
        <v>23</v>
      </c>
      <c r="G4" s="2" t="s">
        <v>18</v>
      </c>
      <c r="H4" s="2" t="s">
        <v>27</v>
      </c>
    </row>
    <row r="5" spans="1:8" ht="12.75">
      <c r="A5" s="8" t="s">
        <v>30</v>
      </c>
      <c r="B5" s="3"/>
      <c r="C5" s="3"/>
      <c r="D5" s="3">
        <f>SUM(B5:C5)</f>
        <v>0</v>
      </c>
      <c r="E5" s="8" t="s">
        <v>1</v>
      </c>
      <c r="F5" s="3"/>
      <c r="G5" s="3"/>
      <c r="H5" s="3">
        <f>SUM(F5:G5)</f>
        <v>0</v>
      </c>
    </row>
    <row r="6" spans="1:8" ht="12.75">
      <c r="A6" s="8" t="s">
        <v>31</v>
      </c>
      <c r="B6" s="3"/>
      <c r="C6" s="3"/>
      <c r="D6" s="3">
        <f aca="true" t="shared" si="0" ref="D6:D19">SUM(B6:C6)</f>
        <v>0</v>
      </c>
      <c r="E6" s="8" t="s">
        <v>91</v>
      </c>
      <c r="F6" s="3"/>
      <c r="G6" s="3"/>
      <c r="H6" s="3">
        <f aca="true" t="shared" si="1" ref="H6:H19">SUM(F6:G6)</f>
        <v>0</v>
      </c>
    </row>
    <row r="7" spans="1:8" ht="12.75">
      <c r="A7" s="8" t="s">
        <v>32</v>
      </c>
      <c r="B7" s="3"/>
      <c r="C7" s="3"/>
      <c r="D7" s="3">
        <f t="shared" si="0"/>
        <v>0</v>
      </c>
      <c r="E7" s="8" t="s">
        <v>38</v>
      </c>
      <c r="F7" s="3"/>
      <c r="G7" s="3"/>
      <c r="H7" s="3">
        <f t="shared" si="1"/>
        <v>0</v>
      </c>
    </row>
    <row r="8" spans="1:8" ht="12.75">
      <c r="A8" s="8"/>
      <c r="B8" s="3"/>
      <c r="C8" s="3"/>
      <c r="D8" s="3">
        <f t="shared" si="0"/>
        <v>0</v>
      </c>
      <c r="E8" s="8" t="s">
        <v>4</v>
      </c>
      <c r="F8" s="3"/>
      <c r="G8" s="3"/>
      <c r="H8" s="3">
        <f t="shared" si="1"/>
        <v>0</v>
      </c>
    </row>
    <row r="9" spans="1:8" ht="12.75">
      <c r="A9" s="8"/>
      <c r="B9" s="3"/>
      <c r="C9" s="3"/>
      <c r="D9" s="3">
        <f t="shared" si="0"/>
        <v>0</v>
      </c>
      <c r="E9" s="8" t="s">
        <v>39</v>
      </c>
      <c r="F9" s="3"/>
      <c r="G9" s="3"/>
      <c r="H9" s="3">
        <f t="shared" si="1"/>
        <v>0</v>
      </c>
    </row>
    <row r="10" spans="1:8" ht="12.75">
      <c r="A10" s="8"/>
      <c r="B10" s="3"/>
      <c r="C10" s="3"/>
      <c r="D10" s="3">
        <f t="shared" si="0"/>
        <v>0</v>
      </c>
      <c r="E10" s="8" t="s">
        <v>6</v>
      </c>
      <c r="F10" s="3"/>
      <c r="G10" s="3"/>
      <c r="H10" s="3">
        <f t="shared" si="1"/>
        <v>0</v>
      </c>
    </row>
    <row r="11" spans="1:8" ht="12.75">
      <c r="A11" s="8"/>
      <c r="B11" s="3"/>
      <c r="C11" s="3"/>
      <c r="D11" s="3">
        <f t="shared" si="0"/>
        <v>0</v>
      </c>
      <c r="E11" s="8" t="s">
        <v>78</v>
      </c>
      <c r="F11" s="3"/>
      <c r="G11" s="3"/>
      <c r="H11" s="3">
        <f t="shared" si="1"/>
        <v>0</v>
      </c>
    </row>
    <row r="12" spans="1:8" ht="12.75">
      <c r="A12" s="8"/>
      <c r="B12" s="3"/>
      <c r="C12" s="3"/>
      <c r="D12" s="3">
        <f t="shared" si="0"/>
        <v>0</v>
      </c>
      <c r="E12" s="8" t="s">
        <v>9</v>
      </c>
      <c r="F12" s="3"/>
      <c r="G12" s="3"/>
      <c r="H12" s="3">
        <f t="shared" si="1"/>
        <v>0</v>
      </c>
    </row>
    <row r="13" spans="1:8" ht="12.75">
      <c r="A13" s="8"/>
      <c r="B13" s="3"/>
      <c r="C13" s="3"/>
      <c r="D13" s="3">
        <f t="shared" si="0"/>
        <v>0</v>
      </c>
      <c r="E13" s="8" t="s">
        <v>40</v>
      </c>
      <c r="F13" s="3"/>
      <c r="G13" s="3"/>
      <c r="H13" s="3">
        <f t="shared" si="1"/>
        <v>0</v>
      </c>
    </row>
    <row r="14" spans="1:8" ht="12.75">
      <c r="A14" s="8"/>
      <c r="B14" s="3"/>
      <c r="C14" s="3"/>
      <c r="D14" s="3">
        <f t="shared" si="0"/>
        <v>0</v>
      </c>
      <c r="E14" s="8" t="s">
        <v>7</v>
      </c>
      <c r="F14" s="3"/>
      <c r="G14" s="3"/>
      <c r="H14" s="3">
        <f t="shared" si="1"/>
        <v>0</v>
      </c>
    </row>
    <row r="15" spans="1:8" ht="12.75">
      <c r="A15" s="8"/>
      <c r="B15" s="3"/>
      <c r="C15" s="3"/>
      <c r="D15" s="3">
        <f t="shared" si="0"/>
        <v>0</v>
      </c>
      <c r="E15" s="9" t="s">
        <v>77</v>
      </c>
      <c r="F15" s="3"/>
      <c r="G15" s="3"/>
      <c r="H15" s="3">
        <f t="shared" si="1"/>
        <v>0</v>
      </c>
    </row>
    <row r="16" spans="1:8" ht="12.75">
      <c r="A16" s="8"/>
      <c r="B16" s="3"/>
      <c r="C16" s="3"/>
      <c r="D16" s="3">
        <f t="shared" si="0"/>
        <v>0</v>
      </c>
      <c r="E16" s="8" t="s">
        <v>42</v>
      </c>
      <c r="F16" s="3"/>
      <c r="G16" s="3"/>
      <c r="H16" s="3">
        <f t="shared" si="1"/>
        <v>0</v>
      </c>
    </row>
    <row r="17" spans="1:8" ht="12.75">
      <c r="A17" s="8"/>
      <c r="B17" s="3"/>
      <c r="C17" s="3"/>
      <c r="D17" s="3">
        <f t="shared" si="0"/>
        <v>0</v>
      </c>
      <c r="E17" s="8" t="s">
        <v>74</v>
      </c>
      <c r="F17" s="3"/>
      <c r="G17" s="3"/>
      <c r="H17" s="3">
        <f t="shared" si="1"/>
        <v>0</v>
      </c>
    </row>
    <row r="18" spans="1:8" ht="12.75">
      <c r="A18" s="8"/>
      <c r="B18" s="3"/>
      <c r="C18" s="3"/>
      <c r="D18" s="3">
        <f t="shared" si="0"/>
        <v>0</v>
      </c>
      <c r="E18" s="8" t="s">
        <v>75</v>
      </c>
      <c r="F18" s="3"/>
      <c r="G18" s="3"/>
      <c r="H18" s="3">
        <f t="shared" si="1"/>
        <v>0</v>
      </c>
    </row>
    <row r="19" spans="1:8" ht="12.75">
      <c r="A19" s="8"/>
      <c r="B19" s="3"/>
      <c r="C19" s="3"/>
      <c r="D19" s="3">
        <f t="shared" si="0"/>
        <v>0</v>
      </c>
      <c r="E19" s="8" t="s">
        <v>76</v>
      </c>
      <c r="F19" s="3"/>
      <c r="G19" s="3"/>
      <c r="H19" s="3">
        <f t="shared" si="1"/>
        <v>0</v>
      </c>
    </row>
    <row r="20" spans="1:8" ht="12.75">
      <c r="A20" s="36" t="s">
        <v>20</v>
      </c>
      <c r="B20" s="37"/>
      <c r="C20" s="38"/>
      <c r="D20" s="2">
        <f>SUM(D5:D19)</f>
        <v>0</v>
      </c>
      <c r="E20" s="36" t="s">
        <v>20</v>
      </c>
      <c r="F20" s="37"/>
      <c r="G20" s="37"/>
      <c r="H20" s="2">
        <f>SUM(H5:H19)</f>
        <v>0</v>
      </c>
    </row>
    <row r="21" spans="1:8" ht="18">
      <c r="A21" s="39" t="s">
        <v>83</v>
      </c>
      <c r="B21" s="39"/>
      <c r="C21" s="39"/>
      <c r="D21" s="39"/>
      <c r="E21" s="39"/>
      <c r="F21" s="39"/>
      <c r="G21" s="39"/>
      <c r="H21" s="12">
        <f>H2+D20-H20</f>
        <v>67529.79000000097</v>
      </c>
    </row>
  </sheetData>
  <sheetProtection/>
  <mergeCells count="7">
    <mergeCell ref="A20:C20"/>
    <mergeCell ref="E20:G20"/>
    <mergeCell ref="A21:G21"/>
    <mergeCell ref="A1:H1"/>
    <mergeCell ref="A2:G2"/>
    <mergeCell ref="A3:D3"/>
    <mergeCell ref="E3:H3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1"/>
  <sheetViews>
    <sheetView zoomScale="130" zoomScaleNormal="130" zoomScalePageLayoutView="0" workbookViewId="0" topLeftCell="A1">
      <selection activeCell="E3" sqref="E3:H3"/>
    </sheetView>
  </sheetViews>
  <sheetFormatPr defaultColWidth="9.00390625" defaultRowHeight="12.75"/>
  <cols>
    <col min="1" max="1" width="36.875" style="0" customWidth="1"/>
    <col min="2" max="3" width="11.375" style="0" customWidth="1"/>
    <col min="4" max="4" width="12.75390625" style="0" customWidth="1"/>
    <col min="5" max="5" width="38.25390625" style="0" customWidth="1"/>
    <col min="6" max="7" width="14.375" style="0" customWidth="1"/>
    <col min="8" max="8" width="15.75390625" style="0" customWidth="1"/>
  </cols>
  <sheetData>
    <row r="1" spans="1:8" ht="12.75">
      <c r="A1" s="47" t="s">
        <v>85</v>
      </c>
      <c r="B1" s="47"/>
      <c r="C1" s="47"/>
      <c r="D1" s="47"/>
      <c r="E1" s="47"/>
      <c r="F1" s="47"/>
      <c r="G1" s="47"/>
      <c r="H1" s="47"/>
    </row>
    <row r="2" spans="1:8" ht="18">
      <c r="A2" s="41" t="s">
        <v>83</v>
      </c>
      <c r="B2" s="42"/>
      <c r="C2" s="42"/>
      <c r="D2" s="42"/>
      <c r="E2" s="42"/>
      <c r="F2" s="42"/>
      <c r="G2" s="43"/>
      <c r="H2" s="10">
        <f>'Октябрь 2013'!H21</f>
        <v>67529.79000000097</v>
      </c>
    </row>
    <row r="3" spans="1:8" ht="18">
      <c r="A3" s="44" t="s">
        <v>24</v>
      </c>
      <c r="B3" s="44"/>
      <c r="C3" s="44"/>
      <c r="D3" s="44"/>
      <c r="E3" s="44" t="s">
        <v>25</v>
      </c>
      <c r="F3" s="44"/>
      <c r="G3" s="44"/>
      <c r="H3" s="44"/>
    </row>
    <row r="4" spans="1:8" ht="12.75">
      <c r="A4" s="2" t="s">
        <v>26</v>
      </c>
      <c r="B4" s="2" t="s">
        <v>23</v>
      </c>
      <c r="C4" s="2" t="s">
        <v>18</v>
      </c>
      <c r="D4" s="2" t="s">
        <v>27</v>
      </c>
      <c r="E4" s="2" t="s">
        <v>26</v>
      </c>
      <c r="F4" s="2" t="s">
        <v>23</v>
      </c>
      <c r="G4" s="2" t="s">
        <v>18</v>
      </c>
      <c r="H4" s="2" t="s">
        <v>27</v>
      </c>
    </row>
    <row r="5" spans="1:8" ht="12.75">
      <c r="A5" s="8" t="s">
        <v>30</v>
      </c>
      <c r="B5" s="3"/>
      <c r="C5" s="3"/>
      <c r="D5" s="3">
        <f>SUM(B5:C5)</f>
        <v>0</v>
      </c>
      <c r="E5" s="8" t="s">
        <v>1</v>
      </c>
      <c r="F5" s="3"/>
      <c r="G5" s="3"/>
      <c r="H5" s="3">
        <f>SUM(F5:G5)</f>
        <v>0</v>
      </c>
    </row>
    <row r="6" spans="1:8" ht="12.75">
      <c r="A6" s="8" t="s">
        <v>31</v>
      </c>
      <c r="B6" s="3"/>
      <c r="C6" s="3"/>
      <c r="D6" s="3">
        <f aca="true" t="shared" si="0" ref="D6:D19">SUM(B6:C6)</f>
        <v>0</v>
      </c>
      <c r="E6" s="8" t="s">
        <v>92</v>
      </c>
      <c r="F6" s="3"/>
      <c r="G6" s="3"/>
      <c r="H6" s="3">
        <f aca="true" t="shared" si="1" ref="H6:H19">SUM(F6:G6)</f>
        <v>0</v>
      </c>
    </row>
    <row r="7" spans="1:8" ht="12.75">
      <c r="A7" s="8" t="s">
        <v>32</v>
      </c>
      <c r="B7" s="3"/>
      <c r="C7" s="3"/>
      <c r="D7" s="3">
        <f t="shared" si="0"/>
        <v>0</v>
      </c>
      <c r="E7" s="8" t="s">
        <v>38</v>
      </c>
      <c r="F7" s="3"/>
      <c r="G7" s="3"/>
      <c r="H7" s="3">
        <f t="shared" si="1"/>
        <v>0</v>
      </c>
    </row>
    <row r="8" spans="1:8" ht="12.75">
      <c r="A8" s="8"/>
      <c r="B8" s="3"/>
      <c r="C8" s="3"/>
      <c r="D8" s="3">
        <f t="shared" si="0"/>
        <v>0</v>
      </c>
      <c r="E8" s="8" t="s">
        <v>4</v>
      </c>
      <c r="F8" s="3"/>
      <c r="G8" s="3"/>
      <c r="H8" s="3">
        <f t="shared" si="1"/>
        <v>0</v>
      </c>
    </row>
    <row r="9" spans="1:8" ht="12.75">
      <c r="A9" s="8"/>
      <c r="B9" s="3"/>
      <c r="C9" s="3"/>
      <c r="D9" s="3">
        <f t="shared" si="0"/>
        <v>0</v>
      </c>
      <c r="E9" s="8" t="s">
        <v>39</v>
      </c>
      <c r="F9" s="3"/>
      <c r="G9" s="3"/>
      <c r="H9" s="3">
        <f t="shared" si="1"/>
        <v>0</v>
      </c>
    </row>
    <row r="10" spans="1:8" ht="12.75">
      <c r="A10" s="8"/>
      <c r="B10" s="3"/>
      <c r="C10" s="3"/>
      <c r="D10" s="3">
        <f t="shared" si="0"/>
        <v>0</v>
      </c>
      <c r="E10" s="8" t="s">
        <v>6</v>
      </c>
      <c r="F10" s="3"/>
      <c r="G10" s="3"/>
      <c r="H10" s="3">
        <f t="shared" si="1"/>
        <v>0</v>
      </c>
    </row>
    <row r="11" spans="1:8" ht="12.75">
      <c r="A11" s="8"/>
      <c r="B11" s="3"/>
      <c r="C11" s="3"/>
      <c r="D11" s="3">
        <f t="shared" si="0"/>
        <v>0</v>
      </c>
      <c r="E11" s="8" t="s">
        <v>78</v>
      </c>
      <c r="F11" s="3"/>
      <c r="G11" s="3"/>
      <c r="H11" s="3">
        <f t="shared" si="1"/>
        <v>0</v>
      </c>
    </row>
    <row r="12" spans="1:8" ht="12.75">
      <c r="A12" s="8"/>
      <c r="B12" s="3"/>
      <c r="C12" s="3"/>
      <c r="D12" s="3">
        <f t="shared" si="0"/>
        <v>0</v>
      </c>
      <c r="E12" s="8" t="s">
        <v>9</v>
      </c>
      <c r="F12" s="3"/>
      <c r="G12" s="3"/>
      <c r="H12" s="3">
        <f t="shared" si="1"/>
        <v>0</v>
      </c>
    </row>
    <row r="13" spans="1:8" ht="12.75">
      <c r="A13" s="8"/>
      <c r="B13" s="3"/>
      <c r="C13" s="3"/>
      <c r="D13" s="3">
        <f t="shared" si="0"/>
        <v>0</v>
      </c>
      <c r="E13" s="8" t="s">
        <v>40</v>
      </c>
      <c r="F13" s="3"/>
      <c r="G13" s="3"/>
      <c r="H13" s="3">
        <f t="shared" si="1"/>
        <v>0</v>
      </c>
    </row>
    <row r="14" spans="1:8" ht="12.75">
      <c r="A14" s="8"/>
      <c r="B14" s="3"/>
      <c r="C14" s="3"/>
      <c r="D14" s="3">
        <f t="shared" si="0"/>
        <v>0</v>
      </c>
      <c r="E14" s="8" t="s">
        <v>7</v>
      </c>
      <c r="F14" s="3"/>
      <c r="G14" s="3"/>
      <c r="H14" s="3">
        <f t="shared" si="1"/>
        <v>0</v>
      </c>
    </row>
    <row r="15" spans="1:8" ht="12.75">
      <c r="A15" s="8"/>
      <c r="B15" s="3"/>
      <c r="C15" s="3"/>
      <c r="D15" s="3">
        <f t="shared" si="0"/>
        <v>0</v>
      </c>
      <c r="E15" s="9" t="s">
        <v>77</v>
      </c>
      <c r="F15" s="3"/>
      <c r="G15" s="3"/>
      <c r="H15" s="3">
        <f t="shared" si="1"/>
        <v>0</v>
      </c>
    </row>
    <row r="16" spans="1:8" ht="12.75">
      <c r="A16" s="8"/>
      <c r="B16" s="3"/>
      <c r="C16" s="3"/>
      <c r="D16" s="3">
        <f t="shared" si="0"/>
        <v>0</v>
      </c>
      <c r="E16" s="8" t="s">
        <v>42</v>
      </c>
      <c r="F16" s="3"/>
      <c r="G16" s="3"/>
      <c r="H16" s="3">
        <f t="shared" si="1"/>
        <v>0</v>
      </c>
    </row>
    <row r="17" spans="1:8" ht="12.75">
      <c r="A17" s="8"/>
      <c r="B17" s="3"/>
      <c r="C17" s="3"/>
      <c r="D17" s="3">
        <f t="shared" si="0"/>
        <v>0</v>
      </c>
      <c r="E17" s="8" t="s">
        <v>74</v>
      </c>
      <c r="F17" s="3"/>
      <c r="G17" s="3"/>
      <c r="H17" s="3">
        <f t="shared" si="1"/>
        <v>0</v>
      </c>
    </row>
    <row r="18" spans="1:8" ht="12.75">
      <c r="A18" s="8"/>
      <c r="B18" s="3"/>
      <c r="C18" s="3"/>
      <c r="D18" s="3">
        <f t="shared" si="0"/>
        <v>0</v>
      </c>
      <c r="E18" s="8" t="s">
        <v>75</v>
      </c>
      <c r="F18" s="3"/>
      <c r="G18" s="3"/>
      <c r="H18" s="3">
        <f t="shared" si="1"/>
        <v>0</v>
      </c>
    </row>
    <row r="19" spans="1:8" ht="12.75">
      <c r="A19" s="8"/>
      <c r="B19" s="3"/>
      <c r="C19" s="3"/>
      <c r="D19" s="3">
        <f t="shared" si="0"/>
        <v>0</v>
      </c>
      <c r="E19" s="8" t="s">
        <v>76</v>
      </c>
      <c r="F19" s="3"/>
      <c r="G19" s="3"/>
      <c r="H19" s="3">
        <f t="shared" si="1"/>
        <v>0</v>
      </c>
    </row>
    <row r="20" spans="1:8" ht="12.75">
      <c r="A20" s="36" t="s">
        <v>20</v>
      </c>
      <c r="B20" s="37"/>
      <c r="C20" s="38"/>
      <c r="D20" s="2">
        <f>SUM(D5:D19)</f>
        <v>0</v>
      </c>
      <c r="E20" s="36" t="s">
        <v>20</v>
      </c>
      <c r="F20" s="37"/>
      <c r="G20" s="37"/>
      <c r="H20" s="2">
        <f>SUM(H5:H19)</f>
        <v>0</v>
      </c>
    </row>
    <row r="21" spans="1:8" ht="18">
      <c r="A21" s="39" t="s">
        <v>86</v>
      </c>
      <c r="B21" s="39"/>
      <c r="C21" s="39"/>
      <c r="D21" s="39"/>
      <c r="E21" s="39"/>
      <c r="F21" s="39"/>
      <c r="G21" s="39"/>
      <c r="H21" s="12">
        <f>H2+D20-H20</f>
        <v>67529.79000000097</v>
      </c>
    </row>
  </sheetData>
  <sheetProtection/>
  <mergeCells count="7">
    <mergeCell ref="A20:C20"/>
    <mergeCell ref="E20:G20"/>
    <mergeCell ref="A21:G21"/>
    <mergeCell ref="A1:H1"/>
    <mergeCell ref="A2:G2"/>
    <mergeCell ref="A3:D3"/>
    <mergeCell ref="E3:H3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1"/>
  <sheetViews>
    <sheetView zoomScale="130" zoomScaleNormal="130" zoomScalePageLayoutView="0" workbookViewId="0" topLeftCell="A1">
      <selection activeCell="G7" sqref="G7"/>
    </sheetView>
  </sheetViews>
  <sheetFormatPr defaultColWidth="9.00390625" defaultRowHeight="12.75"/>
  <cols>
    <col min="1" max="1" width="36.875" style="0" customWidth="1"/>
    <col min="2" max="2" width="13.00390625" style="0" customWidth="1"/>
    <col min="3" max="3" width="11.375" style="0" customWidth="1"/>
    <col min="4" max="4" width="12.75390625" style="0" customWidth="1"/>
    <col min="5" max="5" width="38.25390625" style="0" customWidth="1"/>
    <col min="6" max="7" width="14.375" style="0" customWidth="1"/>
    <col min="8" max="8" width="15.75390625" style="0" customWidth="1"/>
  </cols>
  <sheetData>
    <row r="1" spans="1:8" ht="12.75">
      <c r="A1" s="47" t="s">
        <v>88</v>
      </c>
      <c r="B1" s="47"/>
      <c r="C1" s="47"/>
      <c r="D1" s="47"/>
      <c r="E1" s="47"/>
      <c r="F1" s="47"/>
      <c r="G1" s="47"/>
      <c r="H1" s="47"/>
    </row>
    <row r="2" spans="1:8" ht="18">
      <c r="A2" s="41" t="s">
        <v>86</v>
      </c>
      <c r="B2" s="42"/>
      <c r="C2" s="42"/>
      <c r="D2" s="42"/>
      <c r="E2" s="42"/>
      <c r="F2" s="42"/>
      <c r="G2" s="43"/>
      <c r="H2" s="10">
        <f>'Ноябрь 2013'!H21</f>
        <v>67529.79000000097</v>
      </c>
    </row>
    <row r="3" spans="1:8" ht="18">
      <c r="A3" s="44" t="s">
        <v>24</v>
      </c>
      <c r="B3" s="44"/>
      <c r="C3" s="44"/>
      <c r="D3" s="44"/>
      <c r="E3" s="44" t="s">
        <v>25</v>
      </c>
      <c r="F3" s="44"/>
      <c r="G3" s="44"/>
      <c r="H3" s="44"/>
    </row>
    <row r="4" spans="1:8" ht="12.75">
      <c r="A4" s="2" t="s">
        <v>26</v>
      </c>
      <c r="B4" s="2" t="s">
        <v>23</v>
      </c>
      <c r="C4" s="2" t="s">
        <v>18</v>
      </c>
      <c r="D4" s="2" t="s">
        <v>27</v>
      </c>
      <c r="E4" s="2" t="s">
        <v>26</v>
      </c>
      <c r="F4" s="2" t="s">
        <v>23</v>
      </c>
      <c r="G4" s="2" t="s">
        <v>18</v>
      </c>
      <c r="H4" s="2" t="s">
        <v>27</v>
      </c>
    </row>
    <row r="5" spans="1:8" ht="12.75">
      <c r="A5" s="8" t="s">
        <v>30</v>
      </c>
      <c r="B5" s="3"/>
      <c r="C5" s="3"/>
      <c r="D5" s="3">
        <f>SUM(B5:C5)</f>
        <v>0</v>
      </c>
      <c r="E5" s="8" t="s">
        <v>1</v>
      </c>
      <c r="F5" s="3"/>
      <c r="G5" s="3"/>
      <c r="H5" s="3">
        <f>SUM(F5:G5)</f>
        <v>0</v>
      </c>
    </row>
    <row r="6" spans="1:8" ht="12.75">
      <c r="A6" s="8" t="s">
        <v>31</v>
      </c>
      <c r="B6" s="3"/>
      <c r="C6" s="3"/>
      <c r="D6" s="3">
        <f aca="true" t="shared" si="0" ref="D6:D19">SUM(B6:C6)</f>
        <v>0</v>
      </c>
      <c r="E6" s="8" t="s">
        <v>93</v>
      </c>
      <c r="F6" s="3"/>
      <c r="G6" s="3"/>
      <c r="H6" s="3">
        <f aca="true" t="shared" si="1" ref="H6:H19">SUM(F6:G6)</f>
        <v>0</v>
      </c>
    </row>
    <row r="7" spans="1:8" ht="12.75">
      <c r="A7" s="8" t="s">
        <v>32</v>
      </c>
      <c r="B7" s="3"/>
      <c r="C7" s="3"/>
      <c r="D7" s="3">
        <f t="shared" si="0"/>
        <v>0</v>
      </c>
      <c r="E7" s="8" t="s">
        <v>38</v>
      </c>
      <c r="F7" s="3"/>
      <c r="G7" s="3"/>
      <c r="H7" s="3">
        <f t="shared" si="1"/>
        <v>0</v>
      </c>
    </row>
    <row r="8" spans="1:8" ht="12.75">
      <c r="A8" s="8"/>
      <c r="B8" s="3"/>
      <c r="C8" s="3"/>
      <c r="D8" s="3">
        <f t="shared" si="0"/>
        <v>0</v>
      </c>
      <c r="E8" s="8" t="s">
        <v>4</v>
      </c>
      <c r="F8" s="3"/>
      <c r="G8" s="3"/>
      <c r="H8" s="3">
        <f t="shared" si="1"/>
        <v>0</v>
      </c>
    </row>
    <row r="9" spans="1:8" ht="12.75">
      <c r="A9" s="8"/>
      <c r="B9" s="3"/>
      <c r="C9" s="3"/>
      <c r="D9" s="3">
        <f t="shared" si="0"/>
        <v>0</v>
      </c>
      <c r="E9" s="8" t="s">
        <v>39</v>
      </c>
      <c r="F9" s="3"/>
      <c r="G9" s="3"/>
      <c r="H9" s="3">
        <f t="shared" si="1"/>
        <v>0</v>
      </c>
    </row>
    <row r="10" spans="1:8" ht="12.75">
      <c r="A10" s="8"/>
      <c r="B10" s="3"/>
      <c r="C10" s="3"/>
      <c r="D10" s="3">
        <f t="shared" si="0"/>
        <v>0</v>
      </c>
      <c r="E10" s="8" t="s">
        <v>6</v>
      </c>
      <c r="F10" s="3"/>
      <c r="G10" s="3"/>
      <c r="H10" s="3">
        <f t="shared" si="1"/>
        <v>0</v>
      </c>
    </row>
    <row r="11" spans="1:8" ht="12.75">
      <c r="A11" s="8"/>
      <c r="B11" s="3"/>
      <c r="C11" s="3"/>
      <c r="D11" s="3">
        <f t="shared" si="0"/>
        <v>0</v>
      </c>
      <c r="E11" s="8" t="s">
        <v>78</v>
      </c>
      <c r="F11" s="3"/>
      <c r="G11" s="3"/>
      <c r="H11" s="3">
        <f t="shared" si="1"/>
        <v>0</v>
      </c>
    </row>
    <row r="12" spans="1:8" ht="12.75">
      <c r="A12" s="8"/>
      <c r="B12" s="3"/>
      <c r="C12" s="3"/>
      <c r="D12" s="3">
        <f t="shared" si="0"/>
        <v>0</v>
      </c>
      <c r="E12" s="8" t="s">
        <v>9</v>
      </c>
      <c r="F12" s="3"/>
      <c r="G12" s="3"/>
      <c r="H12" s="3">
        <f t="shared" si="1"/>
        <v>0</v>
      </c>
    </row>
    <row r="13" spans="1:8" ht="12.75">
      <c r="A13" s="8"/>
      <c r="B13" s="3"/>
      <c r="C13" s="3"/>
      <c r="D13" s="3">
        <f t="shared" si="0"/>
        <v>0</v>
      </c>
      <c r="E13" s="8" t="s">
        <v>40</v>
      </c>
      <c r="F13" s="3"/>
      <c r="G13" s="3"/>
      <c r="H13" s="3">
        <f t="shared" si="1"/>
        <v>0</v>
      </c>
    </row>
    <row r="14" spans="1:8" ht="12.75">
      <c r="A14" s="8"/>
      <c r="B14" s="3"/>
      <c r="C14" s="3"/>
      <c r="D14" s="3">
        <f t="shared" si="0"/>
        <v>0</v>
      </c>
      <c r="E14" s="8" t="s">
        <v>7</v>
      </c>
      <c r="F14" s="3"/>
      <c r="G14" s="3"/>
      <c r="H14" s="3">
        <f t="shared" si="1"/>
        <v>0</v>
      </c>
    </row>
    <row r="15" spans="1:8" ht="12.75">
      <c r="A15" s="8"/>
      <c r="B15" s="3"/>
      <c r="C15" s="3"/>
      <c r="D15" s="3">
        <f t="shared" si="0"/>
        <v>0</v>
      </c>
      <c r="E15" s="9"/>
      <c r="F15" s="3"/>
      <c r="G15" s="3"/>
      <c r="H15" s="3">
        <f t="shared" si="1"/>
        <v>0</v>
      </c>
    </row>
    <row r="16" spans="1:8" ht="12.75">
      <c r="A16" s="8"/>
      <c r="B16" s="3"/>
      <c r="C16" s="3"/>
      <c r="D16" s="3">
        <f t="shared" si="0"/>
        <v>0</v>
      </c>
      <c r="E16" s="8"/>
      <c r="F16" s="3"/>
      <c r="G16" s="3"/>
      <c r="H16" s="3">
        <f t="shared" si="1"/>
        <v>0</v>
      </c>
    </row>
    <row r="17" spans="1:8" ht="12.75">
      <c r="A17" s="8"/>
      <c r="B17" s="3"/>
      <c r="C17" s="3"/>
      <c r="D17" s="3">
        <f t="shared" si="0"/>
        <v>0</v>
      </c>
      <c r="E17" s="8"/>
      <c r="F17" s="3"/>
      <c r="G17" s="3"/>
      <c r="H17" s="3">
        <f t="shared" si="1"/>
        <v>0</v>
      </c>
    </row>
    <row r="18" spans="1:8" ht="12.75">
      <c r="A18" s="8"/>
      <c r="B18" s="3"/>
      <c r="C18" s="3"/>
      <c r="D18" s="3">
        <f t="shared" si="0"/>
        <v>0</v>
      </c>
      <c r="E18" s="8"/>
      <c r="F18" s="3"/>
      <c r="G18" s="3"/>
      <c r="H18" s="3">
        <f t="shared" si="1"/>
        <v>0</v>
      </c>
    </row>
    <row r="19" spans="1:8" ht="12.75">
      <c r="A19" s="8"/>
      <c r="B19" s="3"/>
      <c r="C19" s="3"/>
      <c r="D19" s="3">
        <f t="shared" si="0"/>
        <v>0</v>
      </c>
      <c r="E19" s="8"/>
      <c r="F19" s="3"/>
      <c r="G19" s="3"/>
      <c r="H19" s="3">
        <f t="shared" si="1"/>
        <v>0</v>
      </c>
    </row>
    <row r="20" spans="1:8" ht="12.75">
      <c r="A20" s="36" t="s">
        <v>20</v>
      </c>
      <c r="B20" s="37"/>
      <c r="C20" s="38"/>
      <c r="D20" s="2">
        <f>SUM(D5:D19)</f>
        <v>0</v>
      </c>
      <c r="E20" s="36" t="s">
        <v>20</v>
      </c>
      <c r="F20" s="37"/>
      <c r="G20" s="37"/>
      <c r="H20" s="2">
        <f>SUM(H5:H19)</f>
        <v>0</v>
      </c>
    </row>
    <row r="21" spans="1:8" ht="18">
      <c r="A21" s="39" t="s">
        <v>87</v>
      </c>
      <c r="B21" s="39"/>
      <c r="C21" s="39"/>
      <c r="D21" s="39"/>
      <c r="E21" s="39"/>
      <c r="F21" s="39"/>
      <c r="G21" s="39"/>
      <c r="H21" s="12">
        <f>H2+D20-H20</f>
        <v>67529.79000000097</v>
      </c>
    </row>
  </sheetData>
  <sheetProtection/>
  <mergeCells count="7">
    <mergeCell ref="A20:C20"/>
    <mergeCell ref="E20:G20"/>
    <mergeCell ref="A21:G21"/>
    <mergeCell ref="A1:H1"/>
    <mergeCell ref="A2:G2"/>
    <mergeCell ref="A3:D3"/>
    <mergeCell ref="E3:H3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9"/>
  <sheetViews>
    <sheetView zoomScalePageLayoutView="0" workbookViewId="0" topLeftCell="A1">
      <selection activeCell="I31" sqref="I31"/>
    </sheetView>
  </sheetViews>
  <sheetFormatPr defaultColWidth="9.00390625" defaultRowHeight="12.75"/>
  <cols>
    <col min="1" max="1" width="13.125" style="28" customWidth="1"/>
    <col min="2" max="2" width="25.125" style="28" customWidth="1"/>
    <col min="3" max="3" width="16.00390625" style="17" customWidth="1"/>
    <col min="4" max="4" width="16.625" style="17" customWidth="1"/>
  </cols>
  <sheetData>
    <row r="1" spans="1:3" ht="25.5" customHeight="1">
      <c r="A1" s="48" t="s">
        <v>94</v>
      </c>
      <c r="B1" s="48"/>
      <c r="C1" s="48"/>
    </row>
    <row r="2" spans="1:4" ht="12.75">
      <c r="A2" s="24" t="s">
        <v>95</v>
      </c>
      <c r="B2" s="24" t="s">
        <v>96</v>
      </c>
      <c r="C2" s="18" t="s">
        <v>103</v>
      </c>
      <c r="D2" s="19" t="s">
        <v>104</v>
      </c>
    </row>
    <row r="3" spans="1:5" s="23" customFormat="1" ht="13.5" customHeight="1">
      <c r="A3" s="25">
        <v>41487</v>
      </c>
      <c r="B3" s="29" t="s">
        <v>106</v>
      </c>
      <c r="C3" s="21">
        <v>9360</v>
      </c>
      <c r="D3" s="22"/>
      <c r="E3" s="23" t="s">
        <v>107</v>
      </c>
    </row>
    <row r="4" spans="1:5" ht="12.75">
      <c r="A4" s="26">
        <v>41512</v>
      </c>
      <c r="B4" s="27" t="s">
        <v>105</v>
      </c>
      <c r="C4" s="20">
        <v>2830</v>
      </c>
      <c r="D4" s="20"/>
      <c r="E4" t="s">
        <v>108</v>
      </c>
    </row>
    <row r="5" spans="1:5" ht="12.75">
      <c r="A5" s="27" t="s">
        <v>109</v>
      </c>
      <c r="B5" s="27" t="s">
        <v>110</v>
      </c>
      <c r="C5" s="20">
        <v>9360</v>
      </c>
      <c r="D5" s="20"/>
      <c r="E5" s="23" t="s">
        <v>107</v>
      </c>
    </row>
    <row r="6" spans="1:5" ht="12.75">
      <c r="A6" s="26">
        <v>41516</v>
      </c>
      <c r="B6" s="30">
        <v>41515</v>
      </c>
      <c r="C6" s="20">
        <v>7875</v>
      </c>
      <c r="D6" s="20"/>
      <c r="E6" s="23" t="s">
        <v>107</v>
      </c>
    </row>
    <row r="7" spans="1:4" ht="12.75">
      <c r="A7" s="27"/>
      <c r="B7" s="27"/>
      <c r="C7" s="20"/>
      <c r="D7" s="20"/>
    </row>
    <row r="8" spans="1:4" ht="12.75">
      <c r="A8" s="27"/>
      <c r="B8" s="27"/>
      <c r="C8" s="20"/>
      <c r="D8" s="20"/>
    </row>
    <row r="9" spans="1:4" ht="12.75">
      <c r="A9" s="27"/>
      <c r="B9" s="27"/>
      <c r="C9" s="20"/>
      <c r="D9" s="20"/>
    </row>
    <row r="10" spans="1:4" ht="12.75">
      <c r="A10" s="27"/>
      <c r="B10" s="27"/>
      <c r="C10" s="20"/>
      <c r="D10" s="20"/>
    </row>
    <row r="11" spans="1:4" ht="12.75">
      <c r="A11" s="27"/>
      <c r="B11" s="27"/>
      <c r="C11" s="20"/>
      <c r="D11" s="20"/>
    </row>
    <row r="12" spans="1:4" ht="12.75">
      <c r="A12" s="27"/>
      <c r="B12" s="27"/>
      <c r="C12" s="20"/>
      <c r="D12" s="20"/>
    </row>
    <row r="13" spans="1:4" ht="12.75">
      <c r="A13" s="27"/>
      <c r="B13" s="27"/>
      <c r="C13" s="20"/>
      <c r="D13" s="20"/>
    </row>
    <row r="14" spans="1:4" ht="12.75">
      <c r="A14" s="27"/>
      <c r="B14" s="27"/>
      <c r="C14" s="20"/>
      <c r="D14" s="20"/>
    </row>
    <row r="15" spans="1:4" ht="12.75">
      <c r="A15" s="27"/>
      <c r="B15" s="27"/>
      <c r="C15" s="20"/>
      <c r="D15" s="20"/>
    </row>
    <row r="16" spans="1:4" ht="12.75">
      <c r="A16" s="27"/>
      <c r="B16" s="27"/>
      <c r="C16" s="20"/>
      <c r="D16" s="20"/>
    </row>
    <row r="17" spans="1:4" ht="12.75">
      <c r="A17" s="27"/>
      <c r="B17" s="27"/>
      <c r="C17" s="20"/>
      <c r="D17" s="20"/>
    </row>
    <row r="18" spans="1:4" ht="12.75">
      <c r="A18" s="27"/>
      <c r="B18" s="27"/>
      <c r="C18" s="20"/>
      <c r="D18" s="20"/>
    </row>
    <row r="19" spans="1:4" ht="12.75">
      <c r="A19" s="27"/>
      <c r="B19" s="27"/>
      <c r="C19" s="20"/>
      <c r="D19" s="20"/>
    </row>
    <row r="20" spans="1:4" ht="12.75">
      <c r="A20" s="27"/>
      <c r="B20" s="27"/>
      <c r="C20" s="20"/>
      <c r="D20" s="20"/>
    </row>
    <row r="21" spans="1:4" ht="12.75">
      <c r="A21" s="27"/>
      <c r="B21" s="27"/>
      <c r="C21" s="20"/>
      <c r="D21" s="20"/>
    </row>
    <row r="22" spans="1:4" ht="12.75">
      <c r="A22" s="27"/>
      <c r="B22" s="27"/>
      <c r="C22" s="20"/>
      <c r="D22" s="20"/>
    </row>
    <row r="23" spans="1:4" ht="12.75">
      <c r="A23" s="27"/>
      <c r="B23" s="27"/>
      <c r="C23" s="20"/>
      <c r="D23" s="20"/>
    </row>
    <row r="24" spans="1:4" ht="12.75">
      <c r="A24" s="27"/>
      <c r="B24" s="27"/>
      <c r="C24" s="20"/>
      <c r="D24" s="20"/>
    </row>
    <row r="25" spans="1:4" ht="12.75">
      <c r="A25" s="27"/>
      <c r="B25" s="27"/>
      <c r="C25" s="20"/>
      <c r="D25" s="20"/>
    </row>
    <row r="26" spans="1:4" ht="12.75">
      <c r="A26" s="27"/>
      <c r="B26" s="27"/>
      <c r="C26" s="20"/>
      <c r="D26" s="20"/>
    </row>
    <row r="27" spans="1:4" ht="12.75">
      <c r="A27" s="27"/>
      <c r="B27" s="27"/>
      <c r="C27" s="20"/>
      <c r="D27" s="20"/>
    </row>
    <row r="28" spans="1:4" ht="12.75">
      <c r="A28" s="27"/>
      <c r="B28" s="27"/>
      <c r="C28" s="20"/>
      <c r="D28" s="20"/>
    </row>
    <row r="29" spans="1:4" ht="12.75">
      <c r="A29" s="27"/>
      <c r="B29" s="27"/>
      <c r="C29" s="20"/>
      <c r="D29" s="20"/>
    </row>
    <row r="30" spans="1:4" ht="12.75">
      <c r="A30" s="27"/>
      <c r="B30" s="27"/>
      <c r="C30" s="20"/>
      <c r="D30" s="20"/>
    </row>
    <row r="31" spans="1:4" ht="12.75">
      <c r="A31" s="27"/>
      <c r="B31" s="27"/>
      <c r="C31" s="20"/>
      <c r="D31" s="20"/>
    </row>
    <row r="32" spans="1:4" ht="12.75">
      <c r="A32" s="27"/>
      <c r="B32" s="27"/>
      <c r="C32" s="20"/>
      <c r="D32" s="20"/>
    </row>
    <row r="33" spans="1:4" ht="12.75">
      <c r="A33" s="27"/>
      <c r="B33" s="27"/>
      <c r="C33" s="20"/>
      <c r="D33" s="20"/>
    </row>
    <row r="34" spans="1:4" ht="12.75">
      <c r="A34" s="27"/>
      <c r="B34" s="27"/>
      <c r="C34" s="20"/>
      <c r="D34" s="20"/>
    </row>
    <row r="35" spans="1:4" ht="12.75">
      <c r="A35" s="27"/>
      <c r="B35" s="27"/>
      <c r="C35" s="20"/>
      <c r="D35" s="20"/>
    </row>
    <row r="36" spans="1:4" ht="12.75">
      <c r="A36" s="27"/>
      <c r="B36" s="27"/>
      <c r="C36" s="20"/>
      <c r="D36" s="20"/>
    </row>
    <row r="37" spans="1:4" ht="12.75">
      <c r="A37" s="27"/>
      <c r="B37" s="27"/>
      <c r="C37" s="20"/>
      <c r="D37" s="20"/>
    </row>
    <row r="38" spans="1:4" ht="12.75">
      <c r="A38" s="27"/>
      <c r="B38" s="27"/>
      <c r="C38" s="20"/>
      <c r="D38" s="20"/>
    </row>
    <row r="39" spans="1:4" ht="12.75">
      <c r="A39" s="27"/>
      <c r="B39" s="27"/>
      <c r="C39" s="20"/>
      <c r="D39" s="20"/>
    </row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"/>
  <sheetViews>
    <sheetView zoomScale="130" zoomScaleNormal="130" zoomScalePageLayoutView="0" workbookViewId="0" topLeftCell="A1">
      <selection activeCell="D23" sqref="D23"/>
    </sheetView>
  </sheetViews>
  <sheetFormatPr defaultColWidth="9.00390625" defaultRowHeight="12.75"/>
  <cols>
    <col min="1" max="1" width="35.875" style="0" customWidth="1"/>
    <col min="2" max="2" width="13.375" style="0" customWidth="1"/>
    <col min="3" max="3" width="13.125" style="0" customWidth="1"/>
    <col min="4" max="4" width="11.375" style="0" customWidth="1"/>
    <col min="5" max="5" width="30.75390625" style="0" customWidth="1"/>
    <col min="6" max="7" width="13.875" style="0" customWidth="1"/>
    <col min="8" max="8" width="14.875" style="0" customWidth="1"/>
  </cols>
  <sheetData>
    <row r="1" spans="1:8" ht="12.75">
      <c r="A1" s="40" t="s">
        <v>58</v>
      </c>
      <c r="B1" s="40"/>
      <c r="C1" s="40"/>
      <c r="D1" s="40"/>
      <c r="E1" s="40"/>
      <c r="F1" s="40"/>
      <c r="G1" s="40"/>
      <c r="H1" s="40"/>
    </row>
    <row r="2" spans="1:8" ht="18">
      <c r="A2" s="41" t="s">
        <v>56</v>
      </c>
      <c r="B2" s="42"/>
      <c r="C2" s="42"/>
      <c r="D2" s="42"/>
      <c r="E2" s="42"/>
      <c r="F2" s="42"/>
      <c r="G2" s="43"/>
      <c r="H2" s="10">
        <f>'Январь 2013'!H19</f>
        <v>367990.534</v>
      </c>
    </row>
    <row r="3" spans="1:8" ht="18">
      <c r="A3" s="44" t="s">
        <v>24</v>
      </c>
      <c r="B3" s="44"/>
      <c r="C3" s="44"/>
      <c r="D3" s="44"/>
      <c r="E3" s="44" t="s">
        <v>25</v>
      </c>
      <c r="F3" s="44"/>
      <c r="G3" s="44"/>
      <c r="H3" s="44"/>
    </row>
    <row r="4" spans="1:8" ht="12.75">
      <c r="A4" s="2" t="s">
        <v>26</v>
      </c>
      <c r="B4" s="2" t="s">
        <v>23</v>
      </c>
      <c r="C4" s="2" t="s">
        <v>18</v>
      </c>
      <c r="D4" s="2" t="s">
        <v>27</v>
      </c>
      <c r="E4" s="2" t="s">
        <v>26</v>
      </c>
      <c r="F4" s="2" t="s">
        <v>23</v>
      </c>
      <c r="G4" s="2" t="s">
        <v>18</v>
      </c>
      <c r="H4" s="2" t="s">
        <v>27</v>
      </c>
    </row>
    <row r="5" spans="1:8" ht="12.75">
      <c r="A5" s="8" t="s">
        <v>30</v>
      </c>
      <c r="B5" s="3" t="s">
        <v>19</v>
      </c>
      <c r="C5" s="3">
        <v>157144.42</v>
      </c>
      <c r="D5" s="3">
        <f>SUM(B5:C5)</f>
        <v>157144.42</v>
      </c>
      <c r="E5" s="8" t="s">
        <v>63</v>
      </c>
      <c r="F5" s="3">
        <v>1690164.67</v>
      </c>
      <c r="G5" s="3">
        <v>1658642.87</v>
      </c>
      <c r="H5" s="3">
        <f>SUM(F5:G5)</f>
        <v>3348807.54</v>
      </c>
    </row>
    <row r="6" spans="1:8" ht="12.75">
      <c r="A6" s="8" t="s">
        <v>31</v>
      </c>
      <c r="B6" s="3">
        <f>220000+750000+150000+410000</f>
        <v>1530000</v>
      </c>
      <c r="C6" s="3" t="s">
        <v>19</v>
      </c>
      <c r="D6" s="3">
        <f aca="true" t="shared" si="0" ref="D6:D16">SUM(B6:C6)</f>
        <v>1530000</v>
      </c>
      <c r="E6" s="8" t="s">
        <v>4</v>
      </c>
      <c r="F6" s="3">
        <f>9603.38+250+5175</f>
        <v>15028.38</v>
      </c>
      <c r="G6" s="3">
        <f>16456.69+53983.58+10645.4+8613.6+7636.8+10132.84+9417.48+4162.2+9291.9+3613.6+8069+7049.5+11883.304+10863.2+11018.7+4534.35+6918.5+3500.06+5141</f>
        <v>202931.70400000003</v>
      </c>
      <c r="H6" s="3">
        <f aca="true" t="shared" si="1" ref="H6:H16">SUM(F6:G6)</f>
        <v>217960.08400000003</v>
      </c>
    </row>
    <row r="7" spans="1:8" ht="12.75">
      <c r="A7" s="8" t="s">
        <v>32</v>
      </c>
      <c r="B7" s="3" t="s">
        <v>19</v>
      </c>
      <c r="C7" s="3">
        <v>1680064.01</v>
      </c>
      <c r="D7" s="3">
        <f t="shared" si="0"/>
        <v>1680064.01</v>
      </c>
      <c r="E7" s="8" t="s">
        <v>38</v>
      </c>
      <c r="F7" s="3">
        <f>265+265+845+765+323+56+632+354+604+409+528+897+1044</f>
        <v>6987</v>
      </c>
      <c r="G7" s="3">
        <f>2550+2550+2550+2380</f>
        <v>10030</v>
      </c>
      <c r="H7" s="3">
        <f t="shared" si="1"/>
        <v>17017</v>
      </c>
    </row>
    <row r="8" spans="1:8" ht="12.75">
      <c r="A8" s="8"/>
      <c r="B8" s="3"/>
      <c r="C8" s="3"/>
      <c r="D8" s="3">
        <f t="shared" si="0"/>
        <v>0</v>
      </c>
      <c r="E8" s="8" t="s">
        <v>40</v>
      </c>
      <c r="F8" s="3" t="s">
        <v>19</v>
      </c>
      <c r="G8" s="3">
        <f>1394.58+1076.87+1648.36+1482.83</f>
        <v>5602.639999999999</v>
      </c>
      <c r="H8" s="3">
        <f t="shared" si="1"/>
        <v>5602.639999999999</v>
      </c>
    </row>
    <row r="9" spans="1:8" ht="12.75">
      <c r="A9" s="8"/>
      <c r="B9" s="3"/>
      <c r="C9" s="3"/>
      <c r="D9" s="3">
        <f t="shared" si="0"/>
        <v>0</v>
      </c>
      <c r="E9" s="8" t="s">
        <v>39</v>
      </c>
      <c r="F9" s="3" t="s">
        <v>19</v>
      </c>
      <c r="G9" s="3">
        <f>100+190+200+200+150+100+100+50+100+60</f>
        <v>1250</v>
      </c>
      <c r="H9" s="3">
        <f t="shared" si="1"/>
        <v>1250</v>
      </c>
    </row>
    <row r="10" spans="1:8" ht="12.75">
      <c r="A10" s="8"/>
      <c r="B10" s="3"/>
      <c r="C10" s="3"/>
      <c r="D10" s="3">
        <f t="shared" si="0"/>
        <v>0</v>
      </c>
      <c r="E10" s="9" t="s">
        <v>64</v>
      </c>
      <c r="F10" s="3">
        <f>2000</f>
        <v>2000</v>
      </c>
      <c r="G10" s="3" t="s">
        <v>19</v>
      </c>
      <c r="H10" s="3">
        <f t="shared" si="1"/>
        <v>2000</v>
      </c>
    </row>
    <row r="11" spans="1:8" ht="12.75">
      <c r="A11" s="8"/>
      <c r="B11" s="3"/>
      <c r="C11" s="3"/>
      <c r="D11" s="3">
        <f t="shared" si="0"/>
        <v>0</v>
      </c>
      <c r="E11" s="8" t="s">
        <v>9</v>
      </c>
      <c r="F11" s="3" t="s">
        <v>19</v>
      </c>
      <c r="G11" s="3">
        <f>2000</f>
        <v>2000</v>
      </c>
      <c r="H11" s="3">
        <f t="shared" si="1"/>
        <v>2000</v>
      </c>
    </row>
    <row r="12" spans="1:8" ht="12.75">
      <c r="A12" s="8"/>
      <c r="B12" s="3"/>
      <c r="C12" s="3"/>
      <c r="D12" s="3">
        <f t="shared" si="0"/>
        <v>0</v>
      </c>
      <c r="E12" s="8" t="s">
        <v>65</v>
      </c>
      <c r="F12" s="3">
        <f>39500</f>
        <v>39500</v>
      </c>
      <c r="G12" s="3" t="s">
        <v>19</v>
      </c>
      <c r="H12" s="3">
        <f t="shared" si="1"/>
        <v>39500</v>
      </c>
    </row>
    <row r="13" spans="1:8" ht="12.75">
      <c r="A13" s="8"/>
      <c r="B13" s="3"/>
      <c r="C13" s="3"/>
      <c r="D13" s="3">
        <f t="shared" si="0"/>
        <v>0</v>
      </c>
      <c r="E13" s="8" t="s">
        <v>67</v>
      </c>
      <c r="F13" s="3">
        <f>2528+5912+5584+2306+4228+3228</f>
        <v>23786</v>
      </c>
      <c r="G13" s="3" t="s">
        <v>19</v>
      </c>
      <c r="H13" s="3">
        <f t="shared" si="1"/>
        <v>23786</v>
      </c>
    </row>
    <row r="14" spans="1:8" ht="12.75">
      <c r="A14" s="8"/>
      <c r="B14" s="3"/>
      <c r="C14" s="3"/>
      <c r="D14" s="3">
        <f t="shared" si="0"/>
        <v>0</v>
      </c>
      <c r="E14" s="8" t="s">
        <v>68</v>
      </c>
      <c r="F14" s="3" t="s">
        <v>19</v>
      </c>
      <c r="G14" s="3">
        <f>481.4+390+544.4</f>
        <v>1415.8</v>
      </c>
      <c r="H14" s="3">
        <f t="shared" si="1"/>
        <v>1415.8</v>
      </c>
    </row>
    <row r="15" spans="1:8" ht="12.75">
      <c r="A15" s="8"/>
      <c r="B15" s="3"/>
      <c r="C15" s="3"/>
      <c r="D15" s="3">
        <f t="shared" si="0"/>
        <v>0</v>
      </c>
      <c r="E15" s="8" t="s">
        <v>69</v>
      </c>
      <c r="F15" s="3">
        <f>2000+378</f>
        <v>2378</v>
      </c>
      <c r="G15" s="3" t="s">
        <v>19</v>
      </c>
      <c r="H15" s="3">
        <f t="shared" si="1"/>
        <v>2378</v>
      </c>
    </row>
    <row r="16" spans="1:8" ht="12.75">
      <c r="A16" s="8"/>
      <c r="B16" s="3"/>
      <c r="C16" s="3"/>
      <c r="D16" s="3">
        <f t="shared" si="0"/>
        <v>0</v>
      </c>
      <c r="E16" s="8" t="s">
        <v>7</v>
      </c>
      <c r="F16" s="3">
        <f>799+711.5+945.4</f>
        <v>2455.9</v>
      </c>
      <c r="G16" s="3" t="s">
        <v>19</v>
      </c>
      <c r="H16" s="3">
        <f t="shared" si="1"/>
        <v>2455.9</v>
      </c>
    </row>
    <row r="17" spans="1:8" ht="12.75">
      <c r="A17" s="36" t="s">
        <v>20</v>
      </c>
      <c r="B17" s="37"/>
      <c r="C17" s="38"/>
      <c r="D17" s="2">
        <f>SUM(D5:D16)</f>
        <v>3367208.4299999997</v>
      </c>
      <c r="E17" s="36" t="s">
        <v>20</v>
      </c>
      <c r="F17" s="37"/>
      <c r="G17" s="37"/>
      <c r="H17" s="2">
        <f>SUM(H5:H16)</f>
        <v>3664172.9639999997</v>
      </c>
    </row>
    <row r="18" spans="1:8" ht="18">
      <c r="A18" s="39" t="s">
        <v>57</v>
      </c>
      <c r="B18" s="39"/>
      <c r="C18" s="39"/>
      <c r="D18" s="39"/>
      <c r="E18" s="39"/>
      <c r="F18" s="39"/>
      <c r="G18" s="39"/>
      <c r="H18" s="12">
        <f>H2+D17-H17</f>
        <v>71026</v>
      </c>
    </row>
  </sheetData>
  <sheetProtection/>
  <mergeCells count="7">
    <mergeCell ref="A17:C17"/>
    <mergeCell ref="E17:G17"/>
    <mergeCell ref="A18:G18"/>
    <mergeCell ref="A1:H1"/>
    <mergeCell ref="A2:G2"/>
    <mergeCell ref="A3:D3"/>
    <mergeCell ref="E3:H3"/>
  </mergeCells>
  <printOptions/>
  <pageMargins left="0.75" right="0.75" top="1" bottom="1" header="0.5" footer="0.5"/>
  <pageSetup horizontalDpi="600" verticalDpi="6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6"/>
  <sheetViews>
    <sheetView zoomScale="130" zoomScaleNormal="130" zoomScalePageLayoutView="0" workbookViewId="0" topLeftCell="A1">
      <selection activeCell="B19" sqref="B19"/>
    </sheetView>
  </sheetViews>
  <sheetFormatPr defaultColWidth="9.00390625" defaultRowHeight="12.75"/>
  <cols>
    <col min="1" max="1" width="36.125" style="0" customWidth="1"/>
    <col min="2" max="2" width="13.25390625" style="0" customWidth="1"/>
    <col min="3" max="3" width="12.875" style="0" customWidth="1"/>
    <col min="4" max="4" width="12.25390625" style="0" customWidth="1"/>
    <col min="5" max="5" width="36.75390625" style="0" customWidth="1"/>
    <col min="6" max="6" width="13.375" style="0" customWidth="1"/>
    <col min="7" max="7" width="12.625" style="0" customWidth="1"/>
    <col min="8" max="8" width="14.875" style="0" customWidth="1"/>
    <col min="9" max="9" width="10.375" style="0" customWidth="1"/>
  </cols>
  <sheetData>
    <row r="1" spans="1:8" ht="12.75">
      <c r="A1" s="40" t="s">
        <v>59</v>
      </c>
      <c r="B1" s="40"/>
      <c r="C1" s="40"/>
      <c r="D1" s="40"/>
      <c r="E1" s="40"/>
      <c r="F1" s="40"/>
      <c r="G1" s="40"/>
      <c r="H1" s="40"/>
    </row>
    <row r="2" spans="1:8" ht="18">
      <c r="A2" s="41" t="s">
        <v>57</v>
      </c>
      <c r="B2" s="42"/>
      <c r="C2" s="42"/>
      <c r="D2" s="42"/>
      <c r="E2" s="42"/>
      <c r="F2" s="42"/>
      <c r="G2" s="43"/>
      <c r="H2" s="10">
        <f>'Февраль 2013'!H18</f>
        <v>71026</v>
      </c>
    </row>
    <row r="3" spans="1:8" ht="18">
      <c r="A3" s="44" t="s">
        <v>24</v>
      </c>
      <c r="B3" s="44"/>
      <c r="C3" s="44"/>
      <c r="D3" s="44"/>
      <c r="E3" s="44" t="s">
        <v>25</v>
      </c>
      <c r="F3" s="44"/>
      <c r="G3" s="44"/>
      <c r="H3" s="44"/>
    </row>
    <row r="4" spans="1:8" ht="12.75">
      <c r="A4" s="2" t="s">
        <v>26</v>
      </c>
      <c r="B4" s="2" t="s">
        <v>23</v>
      </c>
      <c r="C4" s="2" t="s">
        <v>18</v>
      </c>
      <c r="D4" s="2" t="s">
        <v>27</v>
      </c>
      <c r="E4" s="2" t="s">
        <v>26</v>
      </c>
      <c r="F4" s="2" t="s">
        <v>23</v>
      </c>
      <c r="G4" s="2" t="s">
        <v>18</v>
      </c>
      <c r="H4" s="2" t="s">
        <v>27</v>
      </c>
    </row>
    <row r="5" spans="1:8" ht="12.75">
      <c r="A5" s="8" t="s">
        <v>30</v>
      </c>
      <c r="B5" s="3" t="s">
        <v>19</v>
      </c>
      <c r="C5" s="3">
        <v>331022.83</v>
      </c>
      <c r="D5" s="3">
        <f>SUM(B5:C5)</f>
        <v>331022.83</v>
      </c>
      <c r="E5" s="8" t="s">
        <v>60</v>
      </c>
      <c r="F5" s="3">
        <v>1989073.72</v>
      </c>
      <c r="G5" s="3">
        <v>1079768.68</v>
      </c>
      <c r="H5" s="3">
        <f>SUM(F5:G5)</f>
        <v>3068842.4</v>
      </c>
    </row>
    <row r="6" spans="1:8" ht="12.75">
      <c r="A6" s="8" t="s">
        <v>31</v>
      </c>
      <c r="B6" s="3">
        <v>2190000</v>
      </c>
      <c r="C6" s="3" t="s">
        <v>19</v>
      </c>
      <c r="D6" s="3">
        <f aca="true" t="shared" si="0" ref="D6:D14">SUM(B6:C6)</f>
        <v>2190000</v>
      </c>
      <c r="E6" s="8" t="s">
        <v>71</v>
      </c>
      <c r="F6" s="3">
        <v>130000</v>
      </c>
      <c r="G6" s="3" t="s">
        <v>19</v>
      </c>
      <c r="H6" s="3">
        <f aca="true" t="shared" si="1" ref="H6:H14">SUM(F6:G6)</f>
        <v>130000</v>
      </c>
    </row>
    <row r="7" spans="1:8" ht="12.75">
      <c r="A7" s="8" t="s">
        <v>32</v>
      </c>
      <c r="B7" s="3" t="s">
        <v>19</v>
      </c>
      <c r="C7" s="3">
        <v>835828.04</v>
      </c>
      <c r="D7" s="3">
        <f t="shared" si="0"/>
        <v>835828.04</v>
      </c>
      <c r="E7" s="8" t="s">
        <v>4</v>
      </c>
      <c r="F7" s="3" t="s">
        <v>19</v>
      </c>
      <c r="G7" s="3">
        <f>991+3977.4+6710.5+1660+640.8+2190.1+183.1+145+400+1106+366+1700+2078+2197+119.4+4013.2+6540+3323+5245.5+944</f>
        <v>44530</v>
      </c>
      <c r="H7" s="3">
        <f t="shared" si="1"/>
        <v>44530</v>
      </c>
    </row>
    <row r="8" spans="1:8" ht="12.75">
      <c r="A8" s="8"/>
      <c r="B8" s="3"/>
      <c r="C8" s="3"/>
      <c r="D8" s="3">
        <f t="shared" si="0"/>
        <v>0</v>
      </c>
      <c r="E8" s="8" t="s">
        <v>38</v>
      </c>
      <c r="F8" s="3">
        <f>615+576+810+520+520+84+550+200+580+1297+25+1098+58+1660+220</f>
        <v>8813</v>
      </c>
      <c r="G8" s="3">
        <f>2550+2550+2550</f>
        <v>7650</v>
      </c>
      <c r="H8" s="3">
        <f t="shared" si="1"/>
        <v>16463</v>
      </c>
    </row>
    <row r="9" spans="1:8" ht="12.75">
      <c r="A9" s="8"/>
      <c r="B9" s="3"/>
      <c r="C9" s="3"/>
      <c r="D9" s="3">
        <f t="shared" si="0"/>
        <v>0</v>
      </c>
      <c r="E9" s="8" t="s">
        <v>40</v>
      </c>
      <c r="F9" s="3" t="s">
        <v>19</v>
      </c>
      <c r="G9" s="3">
        <f>1889.61+499.79+3082.68+1301.4+1448.95</f>
        <v>8222.43</v>
      </c>
      <c r="H9" s="3">
        <f t="shared" si="1"/>
        <v>8222.43</v>
      </c>
    </row>
    <row r="10" spans="1:8" ht="12.75">
      <c r="A10" s="8"/>
      <c r="B10" s="3"/>
      <c r="C10" s="3"/>
      <c r="D10" s="3">
        <f t="shared" si="0"/>
        <v>0</v>
      </c>
      <c r="E10" s="8" t="s">
        <v>39</v>
      </c>
      <c r="F10" s="3" t="s">
        <v>19</v>
      </c>
      <c r="G10" s="3">
        <f>200+150+150+100+50+100+150+70+100</f>
        <v>1070</v>
      </c>
      <c r="H10" s="3">
        <f t="shared" si="1"/>
        <v>1070</v>
      </c>
    </row>
    <row r="11" spans="1:8" ht="12.75">
      <c r="A11" s="8"/>
      <c r="B11" s="3"/>
      <c r="C11" s="3"/>
      <c r="D11" s="3">
        <f t="shared" si="0"/>
        <v>0</v>
      </c>
      <c r="E11" s="8" t="s">
        <v>42</v>
      </c>
      <c r="F11" s="3" t="s">
        <v>19</v>
      </c>
      <c r="G11" s="3">
        <v>3500</v>
      </c>
      <c r="H11" s="3">
        <f t="shared" si="1"/>
        <v>3500</v>
      </c>
    </row>
    <row r="12" spans="1:8" ht="12.75">
      <c r="A12" s="8"/>
      <c r="B12" s="3"/>
      <c r="C12" s="3"/>
      <c r="D12" s="3">
        <f t="shared" si="0"/>
        <v>0</v>
      </c>
      <c r="E12" s="8" t="s">
        <v>68</v>
      </c>
      <c r="F12" s="3" t="s">
        <v>19</v>
      </c>
      <c r="G12" s="3">
        <f>234.5+400+282+234+1200+992.75+1755+1800+321.1+1900</f>
        <v>9119.35</v>
      </c>
      <c r="H12" s="3">
        <f t="shared" si="1"/>
        <v>9119.35</v>
      </c>
    </row>
    <row r="13" spans="1:8" ht="12.75">
      <c r="A13" s="8"/>
      <c r="B13" s="3"/>
      <c r="C13" s="3"/>
      <c r="D13" s="3">
        <f t="shared" si="0"/>
        <v>0</v>
      </c>
      <c r="E13" s="8" t="s">
        <v>69</v>
      </c>
      <c r="F13" s="3">
        <f>6265.25</f>
        <v>6265.25</v>
      </c>
      <c r="G13" s="3" t="s">
        <v>19</v>
      </c>
      <c r="H13" s="3">
        <f t="shared" si="1"/>
        <v>6265.25</v>
      </c>
    </row>
    <row r="14" spans="1:8" ht="12.75">
      <c r="A14" s="8"/>
      <c r="B14" s="3"/>
      <c r="C14" s="3"/>
      <c r="D14" s="3">
        <f t="shared" si="0"/>
        <v>0</v>
      </c>
      <c r="E14" s="8" t="s">
        <v>7</v>
      </c>
      <c r="F14" s="3">
        <f>919.71+703.3+960</f>
        <v>2583.01</v>
      </c>
      <c r="G14" s="3" t="s">
        <v>19</v>
      </c>
      <c r="H14" s="3">
        <f t="shared" si="1"/>
        <v>2583.01</v>
      </c>
    </row>
    <row r="15" spans="1:8" ht="12.75">
      <c r="A15" s="36" t="s">
        <v>20</v>
      </c>
      <c r="B15" s="37"/>
      <c r="C15" s="38"/>
      <c r="D15" s="2">
        <f>SUM(D5:D14)</f>
        <v>3356850.87</v>
      </c>
      <c r="E15" s="36" t="s">
        <v>20</v>
      </c>
      <c r="F15" s="37"/>
      <c r="G15" s="37"/>
      <c r="H15" s="2">
        <f>SUM(H5:H14)</f>
        <v>3290595.44</v>
      </c>
    </row>
    <row r="16" spans="1:8" ht="18">
      <c r="A16" s="39" t="s">
        <v>28</v>
      </c>
      <c r="B16" s="39"/>
      <c r="C16" s="39"/>
      <c r="D16" s="39"/>
      <c r="E16" s="39"/>
      <c r="F16" s="39"/>
      <c r="G16" s="39"/>
      <c r="H16" s="12">
        <f>H2+D15-H15</f>
        <v>137281.43000000017</v>
      </c>
    </row>
  </sheetData>
  <sheetProtection/>
  <mergeCells count="7">
    <mergeCell ref="A15:C15"/>
    <mergeCell ref="E15:G15"/>
    <mergeCell ref="A16:G16"/>
    <mergeCell ref="A1:H1"/>
    <mergeCell ref="A2:G2"/>
    <mergeCell ref="A3:D3"/>
    <mergeCell ref="E3:H3"/>
  </mergeCells>
  <printOptions/>
  <pageMargins left="0.75" right="0.75" top="1" bottom="1" header="0.5" footer="0.5"/>
  <pageSetup horizontalDpi="600" verticalDpi="600" orientation="landscape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7"/>
  <sheetViews>
    <sheetView zoomScale="87" zoomScaleNormal="87" zoomScalePageLayoutView="0" workbookViewId="0" topLeftCell="A1">
      <selection activeCell="A1" sqref="A1:IV1"/>
    </sheetView>
  </sheetViews>
  <sheetFormatPr defaultColWidth="9.00390625" defaultRowHeight="12.75"/>
  <cols>
    <col min="1" max="1" width="43.00390625" style="1" customWidth="1"/>
    <col min="2" max="3" width="14.75390625" style="1" customWidth="1"/>
    <col min="4" max="4" width="15.875" style="1" customWidth="1"/>
    <col min="5" max="5" width="41.875" style="1" customWidth="1"/>
    <col min="6" max="6" width="13.875" style="1" customWidth="1"/>
    <col min="7" max="7" width="13.125" style="1" customWidth="1"/>
    <col min="8" max="8" width="18.125" style="1" customWidth="1"/>
    <col min="9" max="9" width="15.125" style="1" customWidth="1"/>
  </cols>
  <sheetData>
    <row r="1" spans="1:8" ht="15" customHeight="1">
      <c r="A1" s="40" t="s">
        <v>45</v>
      </c>
      <c r="B1" s="40"/>
      <c r="C1" s="40"/>
      <c r="D1" s="40"/>
      <c r="E1" s="40"/>
      <c r="F1" s="40"/>
      <c r="G1" s="40"/>
      <c r="H1" s="40"/>
    </row>
    <row r="2" spans="1:9" ht="22.5" customHeight="1">
      <c r="A2" s="41" t="s">
        <v>28</v>
      </c>
      <c r="B2" s="42"/>
      <c r="C2" s="42"/>
      <c r="D2" s="42"/>
      <c r="E2" s="42"/>
      <c r="F2" s="42"/>
      <c r="G2" s="43"/>
      <c r="H2" s="10">
        <f>'Март 2013'!H16</f>
        <v>137281.43000000017</v>
      </c>
      <c r="I2" s="5"/>
    </row>
    <row r="3" spans="1:9" ht="21.75" customHeight="1">
      <c r="A3" s="44" t="s">
        <v>24</v>
      </c>
      <c r="B3" s="44"/>
      <c r="C3" s="44"/>
      <c r="D3" s="44"/>
      <c r="E3" s="44" t="s">
        <v>25</v>
      </c>
      <c r="F3" s="44"/>
      <c r="G3" s="44"/>
      <c r="H3" s="44"/>
      <c r="I3" s="5"/>
    </row>
    <row r="4" spans="1:9" ht="15" customHeight="1">
      <c r="A4" s="2" t="s">
        <v>26</v>
      </c>
      <c r="B4" s="2" t="s">
        <v>23</v>
      </c>
      <c r="C4" s="2" t="s">
        <v>18</v>
      </c>
      <c r="D4" s="2" t="s">
        <v>27</v>
      </c>
      <c r="E4" s="2" t="s">
        <v>26</v>
      </c>
      <c r="F4" s="2" t="s">
        <v>23</v>
      </c>
      <c r="G4" s="2" t="s">
        <v>18</v>
      </c>
      <c r="H4" s="2" t="s">
        <v>27</v>
      </c>
      <c r="I4" s="6"/>
    </row>
    <row r="5" spans="1:9" ht="15" customHeight="1">
      <c r="A5" s="8" t="s">
        <v>30</v>
      </c>
      <c r="B5" s="3" t="s">
        <v>19</v>
      </c>
      <c r="C5" s="3">
        <v>172738.55</v>
      </c>
      <c r="D5" s="3">
        <f>SUM(B5:C5)</f>
        <v>172738.55</v>
      </c>
      <c r="E5" s="8" t="s">
        <v>1</v>
      </c>
      <c r="F5" s="3">
        <v>268000</v>
      </c>
      <c r="G5" s="3" t="s">
        <v>19</v>
      </c>
      <c r="H5" s="3">
        <f>SUM(F5:G5)</f>
        <v>268000</v>
      </c>
      <c r="I5" s="5"/>
    </row>
    <row r="6" spans="1:9" ht="15" customHeight="1">
      <c r="A6" s="8" t="s">
        <v>31</v>
      </c>
      <c r="B6" s="3">
        <v>2582130</v>
      </c>
      <c r="C6" s="3" t="s">
        <v>19</v>
      </c>
      <c r="D6" s="3">
        <f aca="true" t="shared" si="0" ref="D6:D22">SUM(B6:C6)</f>
        <v>2582130</v>
      </c>
      <c r="E6" s="8" t="s">
        <v>2</v>
      </c>
      <c r="F6" s="3">
        <v>2091369.9</v>
      </c>
      <c r="G6" s="3">
        <v>968388.56</v>
      </c>
      <c r="H6" s="3">
        <f aca="true" t="shared" si="1" ref="H6:H22">SUM(F6:G6)</f>
        <v>3059758.46</v>
      </c>
      <c r="I6" s="5"/>
    </row>
    <row r="7" spans="1:9" ht="15" customHeight="1">
      <c r="A7" s="8" t="s">
        <v>32</v>
      </c>
      <c r="B7" s="3"/>
      <c r="C7" s="3">
        <v>863368.04</v>
      </c>
      <c r="D7" s="3">
        <f t="shared" si="0"/>
        <v>863368.04</v>
      </c>
      <c r="E7" s="8" t="s">
        <v>38</v>
      </c>
      <c r="F7" s="3">
        <f>120+6600+80+451+70+186+1000+650+143+30+45+50+290+550</f>
        <v>10265</v>
      </c>
      <c r="G7" s="3">
        <f>9680+2380</f>
        <v>12060</v>
      </c>
      <c r="H7" s="3">
        <f t="shared" si="1"/>
        <v>22325</v>
      </c>
      <c r="I7" s="5"/>
    </row>
    <row r="8" spans="1:9" ht="15" customHeight="1">
      <c r="A8" s="8" t="s">
        <v>33</v>
      </c>
      <c r="B8" s="3"/>
      <c r="C8" s="3">
        <v>3900</v>
      </c>
      <c r="D8" s="3">
        <f t="shared" si="0"/>
        <v>3900</v>
      </c>
      <c r="E8" s="8" t="s">
        <v>4</v>
      </c>
      <c r="F8" s="3">
        <f>4431+645.2+8269+442+726</f>
        <v>14513.2</v>
      </c>
      <c r="G8" s="3">
        <v>80167.08</v>
      </c>
      <c r="H8" s="3">
        <f t="shared" si="1"/>
        <v>94680.28</v>
      </c>
      <c r="I8" s="5"/>
    </row>
    <row r="9" spans="1:9" ht="15" customHeight="1">
      <c r="A9" s="8" t="s">
        <v>34</v>
      </c>
      <c r="B9" s="3">
        <v>151776.71</v>
      </c>
      <c r="C9" s="3"/>
      <c r="D9" s="3">
        <f t="shared" si="0"/>
        <v>151776.71</v>
      </c>
      <c r="E9" s="8" t="s">
        <v>39</v>
      </c>
      <c r="F9" s="3" t="s">
        <v>19</v>
      </c>
      <c r="G9" s="3">
        <v>1100</v>
      </c>
      <c r="H9" s="3">
        <f t="shared" si="1"/>
        <v>1100</v>
      </c>
      <c r="I9" s="5"/>
    </row>
    <row r="10" spans="1:9" ht="15" customHeight="1">
      <c r="A10" s="8"/>
      <c r="B10" s="3"/>
      <c r="C10" s="3"/>
      <c r="D10" s="3">
        <f t="shared" si="0"/>
        <v>0</v>
      </c>
      <c r="E10" s="8" t="s">
        <v>6</v>
      </c>
      <c r="F10" s="3" t="s">
        <v>19</v>
      </c>
      <c r="G10" s="3">
        <v>266</v>
      </c>
      <c r="H10" s="3">
        <f t="shared" si="1"/>
        <v>266</v>
      </c>
      <c r="I10" s="5"/>
    </row>
    <row r="11" spans="1:9" ht="15" customHeight="1">
      <c r="A11" s="8"/>
      <c r="B11" s="3"/>
      <c r="C11" s="3"/>
      <c r="D11" s="3">
        <f t="shared" si="0"/>
        <v>0</v>
      </c>
      <c r="E11" s="8" t="s">
        <v>9</v>
      </c>
      <c r="F11" s="3" t="s">
        <v>19</v>
      </c>
      <c r="G11" s="3">
        <v>2057.69</v>
      </c>
      <c r="H11" s="3">
        <f t="shared" si="1"/>
        <v>2057.69</v>
      </c>
      <c r="I11" s="5"/>
    </row>
    <row r="12" spans="1:9" ht="15" customHeight="1">
      <c r="A12" s="8"/>
      <c r="B12" s="3"/>
      <c r="C12" s="3"/>
      <c r="D12" s="3">
        <f t="shared" si="0"/>
        <v>0</v>
      </c>
      <c r="E12" s="8" t="s">
        <v>16</v>
      </c>
      <c r="F12" s="3" t="s">
        <v>19</v>
      </c>
      <c r="G12" s="3">
        <v>2500</v>
      </c>
      <c r="H12" s="3">
        <f t="shared" si="1"/>
        <v>2500</v>
      </c>
      <c r="I12" s="5"/>
    </row>
    <row r="13" spans="1:9" ht="15" customHeight="1">
      <c r="A13" s="8"/>
      <c r="B13" s="3"/>
      <c r="C13" s="3"/>
      <c r="D13" s="3">
        <f t="shared" si="0"/>
        <v>0</v>
      </c>
      <c r="E13" s="8" t="s">
        <v>40</v>
      </c>
      <c r="F13" s="3" t="s">
        <v>19</v>
      </c>
      <c r="G13" s="3">
        <v>4582.1</v>
      </c>
      <c r="H13" s="3">
        <f t="shared" si="1"/>
        <v>4582.1</v>
      </c>
      <c r="I13" s="5"/>
    </row>
    <row r="14" spans="1:9" ht="15" customHeight="1">
      <c r="A14" s="8"/>
      <c r="B14" s="3"/>
      <c r="C14" s="3"/>
      <c r="D14" s="3">
        <f t="shared" si="0"/>
        <v>0</v>
      </c>
      <c r="E14" s="8" t="s">
        <v>7</v>
      </c>
      <c r="F14" s="3">
        <f>768.8+833.2+276.8+3007.6</f>
        <v>4886.4</v>
      </c>
      <c r="G14" s="3" t="s">
        <v>19</v>
      </c>
      <c r="H14" s="3">
        <f t="shared" si="1"/>
        <v>4886.4</v>
      </c>
      <c r="I14" s="5"/>
    </row>
    <row r="15" spans="1:9" ht="15" customHeight="1">
      <c r="A15" s="8"/>
      <c r="B15" s="3"/>
      <c r="C15" s="3"/>
      <c r="D15" s="3">
        <f t="shared" si="0"/>
        <v>0</v>
      </c>
      <c r="E15" s="8" t="s">
        <v>41</v>
      </c>
      <c r="F15" s="3">
        <f>1500</f>
        <v>1500</v>
      </c>
      <c r="G15" s="3" t="s">
        <v>19</v>
      </c>
      <c r="H15" s="3">
        <f t="shared" si="1"/>
        <v>1500</v>
      </c>
      <c r="I15" s="5"/>
    </row>
    <row r="16" spans="1:9" ht="16.5" customHeight="1">
      <c r="A16" s="8"/>
      <c r="B16" s="3"/>
      <c r="C16" s="3"/>
      <c r="D16" s="3">
        <f t="shared" si="0"/>
        <v>0</v>
      </c>
      <c r="E16" s="8" t="s">
        <v>42</v>
      </c>
      <c r="F16" s="3">
        <f>1000</f>
        <v>1000</v>
      </c>
      <c r="G16" s="3">
        <v>1000</v>
      </c>
      <c r="H16" s="3">
        <f t="shared" si="1"/>
        <v>2000</v>
      </c>
      <c r="I16" s="5"/>
    </row>
    <row r="17" spans="1:9" ht="15" customHeight="1">
      <c r="A17" s="8"/>
      <c r="B17" s="3"/>
      <c r="C17" s="3"/>
      <c r="D17" s="3">
        <f t="shared" si="0"/>
        <v>0</v>
      </c>
      <c r="E17" s="8" t="s">
        <v>13</v>
      </c>
      <c r="F17" s="3" t="s">
        <v>19</v>
      </c>
      <c r="G17" s="3">
        <v>4115</v>
      </c>
      <c r="H17" s="3">
        <f t="shared" si="1"/>
        <v>4115</v>
      </c>
      <c r="I17" s="5"/>
    </row>
    <row r="18" spans="1:9" ht="28.5" customHeight="1">
      <c r="A18" s="8"/>
      <c r="B18" s="3"/>
      <c r="C18" s="3"/>
      <c r="D18" s="3">
        <f t="shared" si="0"/>
        <v>0</v>
      </c>
      <c r="E18" s="9" t="s">
        <v>35</v>
      </c>
      <c r="F18" s="3">
        <f>1000+200+280</f>
        <v>1480</v>
      </c>
      <c r="G18" s="3" t="s">
        <v>19</v>
      </c>
      <c r="H18" s="3">
        <f t="shared" si="1"/>
        <v>1480</v>
      </c>
      <c r="I18" s="5"/>
    </row>
    <row r="19" spans="1:9" ht="15" customHeight="1">
      <c r="A19" s="8"/>
      <c r="B19" s="3"/>
      <c r="C19" s="3"/>
      <c r="D19" s="3">
        <f t="shared" si="0"/>
        <v>0</v>
      </c>
      <c r="E19" s="8" t="s">
        <v>36</v>
      </c>
      <c r="F19" s="3">
        <f>2000</f>
        <v>2000</v>
      </c>
      <c r="G19" s="3" t="s">
        <v>19</v>
      </c>
      <c r="H19" s="3">
        <f t="shared" si="1"/>
        <v>2000</v>
      </c>
      <c r="I19" s="5"/>
    </row>
    <row r="20" spans="1:9" ht="15" customHeight="1">
      <c r="A20" s="8"/>
      <c r="B20" s="3"/>
      <c r="C20" s="3"/>
      <c r="D20" s="3">
        <f t="shared" si="0"/>
        <v>0</v>
      </c>
      <c r="E20" s="8" t="s">
        <v>17</v>
      </c>
      <c r="F20" s="3">
        <f>20000+7000</f>
        <v>27000</v>
      </c>
      <c r="G20" s="3" t="s">
        <v>19</v>
      </c>
      <c r="H20" s="3">
        <f t="shared" si="1"/>
        <v>27000</v>
      </c>
      <c r="I20" s="5"/>
    </row>
    <row r="21" spans="1:9" ht="15" customHeight="1">
      <c r="A21" s="8"/>
      <c r="B21" s="3"/>
      <c r="C21" s="3"/>
      <c r="D21" s="3">
        <f t="shared" si="0"/>
        <v>0</v>
      </c>
      <c r="E21" s="8" t="s">
        <v>22</v>
      </c>
      <c r="F21" s="3">
        <v>103800</v>
      </c>
      <c r="G21" s="3" t="s">
        <v>19</v>
      </c>
      <c r="H21" s="3">
        <f t="shared" si="1"/>
        <v>103800</v>
      </c>
      <c r="I21" s="5"/>
    </row>
    <row r="22" spans="1:9" ht="15" customHeight="1">
      <c r="A22" s="8"/>
      <c r="B22" s="3"/>
      <c r="C22" s="3"/>
      <c r="D22" s="3">
        <f t="shared" si="0"/>
        <v>0</v>
      </c>
      <c r="E22" s="8" t="s">
        <v>37</v>
      </c>
      <c r="F22" s="3">
        <v>10000</v>
      </c>
      <c r="G22" s="3"/>
      <c r="H22" s="3">
        <f t="shared" si="1"/>
        <v>10000</v>
      </c>
      <c r="I22" s="5"/>
    </row>
    <row r="23" spans="1:9" ht="15" customHeight="1">
      <c r="A23" s="36" t="s">
        <v>20</v>
      </c>
      <c r="B23" s="37"/>
      <c r="C23" s="38"/>
      <c r="D23" s="2">
        <f>SUM(D5:D22)</f>
        <v>3773913.3</v>
      </c>
      <c r="E23" s="36" t="s">
        <v>20</v>
      </c>
      <c r="F23" s="37"/>
      <c r="G23" s="37"/>
      <c r="H23" s="2">
        <f>SUM(H5:H22)</f>
        <v>3612050.9299999997</v>
      </c>
      <c r="I23" s="5"/>
    </row>
    <row r="24" spans="1:9" ht="24" customHeight="1">
      <c r="A24" s="39" t="s">
        <v>29</v>
      </c>
      <c r="B24" s="39"/>
      <c r="C24" s="39"/>
      <c r="D24" s="39"/>
      <c r="E24" s="39"/>
      <c r="F24" s="39"/>
      <c r="G24" s="39"/>
      <c r="H24" s="12">
        <f>H2+D23-H23</f>
        <v>299143.8000000003</v>
      </c>
      <c r="I24" s="11"/>
    </row>
    <row r="25" spans="1:9" ht="15" customHeight="1">
      <c r="A25" s="5"/>
      <c r="B25" s="5"/>
      <c r="C25" s="5"/>
      <c r="D25" s="5"/>
      <c r="E25" s="5"/>
      <c r="F25" s="5"/>
      <c r="G25" s="5"/>
      <c r="H25" s="5"/>
      <c r="I25" s="5"/>
    </row>
    <row r="26" spans="1:9" ht="15" customHeight="1">
      <c r="A26" s="5"/>
      <c r="B26" s="5"/>
      <c r="C26" s="5"/>
      <c r="D26" s="5"/>
      <c r="E26" s="5"/>
      <c r="F26" s="5"/>
      <c r="G26" s="5"/>
      <c r="H26" s="5"/>
      <c r="I26" s="5"/>
    </row>
    <row r="27" spans="1:9" ht="15" customHeight="1">
      <c r="A27" s="5"/>
      <c r="B27" s="5"/>
      <c r="C27" s="5"/>
      <c r="D27" s="5"/>
      <c r="E27" s="5"/>
      <c r="F27" s="5"/>
      <c r="G27" s="5"/>
      <c r="H27" s="5"/>
      <c r="I27" s="5"/>
    </row>
    <row r="28" spans="1:9" ht="15" customHeight="1">
      <c r="A28" s="5"/>
      <c r="B28" s="5"/>
      <c r="C28" s="5"/>
      <c r="D28" s="5"/>
      <c r="E28" s="5"/>
      <c r="F28" s="5"/>
      <c r="G28" s="5"/>
      <c r="H28" s="5"/>
      <c r="I28" s="5"/>
    </row>
    <row r="29" spans="1:9" ht="15" customHeight="1">
      <c r="A29" s="5"/>
      <c r="B29" s="5"/>
      <c r="C29" s="5"/>
      <c r="D29" s="5"/>
      <c r="E29" s="5"/>
      <c r="F29" s="5"/>
      <c r="G29" s="5"/>
      <c r="H29" s="5"/>
      <c r="I29" s="5"/>
    </row>
    <row r="30" spans="1:9" ht="15" customHeight="1">
      <c r="A30" s="5"/>
      <c r="B30" s="5"/>
      <c r="C30" s="5"/>
      <c r="D30" s="5"/>
      <c r="E30" s="5"/>
      <c r="F30" s="5"/>
      <c r="G30" s="5"/>
      <c r="H30" s="5"/>
      <c r="I30" s="5"/>
    </row>
    <row r="31" spans="1:9" ht="15" customHeight="1">
      <c r="A31" s="5"/>
      <c r="B31" s="5"/>
      <c r="C31" s="5"/>
      <c r="D31" s="5"/>
      <c r="E31" s="5"/>
      <c r="F31" s="5"/>
      <c r="G31" s="5"/>
      <c r="H31" s="5"/>
      <c r="I31" s="5"/>
    </row>
    <row r="32" spans="1:9" ht="15" customHeight="1">
      <c r="A32" s="5"/>
      <c r="B32" s="5"/>
      <c r="C32" s="5"/>
      <c r="D32" s="5"/>
      <c r="E32" s="5"/>
      <c r="F32" s="5"/>
      <c r="G32" s="5"/>
      <c r="H32" s="5"/>
      <c r="I32" s="5"/>
    </row>
    <row r="33" spans="1:9" ht="15" customHeight="1">
      <c r="A33" s="5"/>
      <c r="B33" s="5"/>
      <c r="C33" s="5"/>
      <c r="D33" s="5"/>
      <c r="E33" s="5"/>
      <c r="F33" s="5"/>
      <c r="G33" s="5"/>
      <c r="H33" s="5"/>
      <c r="I33" s="5"/>
    </row>
    <row r="34" spans="1:9" ht="15" customHeight="1">
      <c r="A34" s="5"/>
      <c r="B34" s="5"/>
      <c r="C34" s="5"/>
      <c r="D34" s="5"/>
      <c r="E34" s="5"/>
      <c r="F34" s="5"/>
      <c r="G34" s="5"/>
      <c r="H34" s="5"/>
      <c r="I34" s="5"/>
    </row>
    <row r="35" spans="1:9" ht="15" customHeight="1">
      <c r="A35" s="5"/>
      <c r="B35" s="5"/>
      <c r="C35" s="5"/>
      <c r="D35" s="5"/>
      <c r="E35" s="5"/>
      <c r="F35" s="5"/>
      <c r="G35" s="5"/>
      <c r="H35" s="5"/>
      <c r="I35" s="5"/>
    </row>
    <row r="36" spans="1:9" ht="15" customHeight="1">
      <c r="A36" s="5"/>
      <c r="B36" s="5"/>
      <c r="C36" s="5"/>
      <c r="D36" s="5"/>
      <c r="E36" s="5"/>
      <c r="F36" s="5"/>
      <c r="G36" s="5"/>
      <c r="H36" s="5"/>
      <c r="I36" s="5"/>
    </row>
    <row r="37" spans="1:4" ht="15" customHeight="1">
      <c r="A37" s="45" t="s">
        <v>0</v>
      </c>
      <c r="B37" s="45"/>
      <c r="C37" s="45"/>
      <c r="D37" s="45"/>
    </row>
    <row r="38" spans="1:4" ht="15" customHeight="1">
      <c r="A38" s="2" t="s">
        <v>15</v>
      </c>
      <c r="B38" s="2" t="s">
        <v>23</v>
      </c>
      <c r="C38" s="4" t="s">
        <v>18</v>
      </c>
      <c r="D38" s="2" t="s">
        <v>20</v>
      </c>
    </row>
    <row r="39" spans="1:4" ht="15" customHeight="1">
      <c r="A39" s="3" t="s">
        <v>1</v>
      </c>
      <c r="B39" s="3">
        <v>268000</v>
      </c>
      <c r="C39" s="3" t="s">
        <v>19</v>
      </c>
      <c r="D39" s="3">
        <f>SUM(B39:C39)</f>
        <v>268000</v>
      </c>
    </row>
    <row r="40" spans="1:4" ht="15" customHeight="1">
      <c r="A40" s="3" t="s">
        <v>2</v>
      </c>
      <c r="B40" s="3">
        <v>2091369.9</v>
      </c>
      <c r="C40" s="3">
        <v>968388.56</v>
      </c>
      <c r="D40" s="3">
        <f aca="true" t="shared" si="2" ref="D40:D56">SUM(B40:C40)</f>
        <v>3059758.46</v>
      </c>
    </row>
    <row r="41" spans="1:4" ht="15" customHeight="1">
      <c r="A41" s="3" t="s">
        <v>3</v>
      </c>
      <c r="B41" s="3">
        <f>120+6600+80+451+70+186+1000+650+143+30+45+50+290+550</f>
        <v>10265</v>
      </c>
      <c r="C41" s="3">
        <f>9680+2380</f>
        <v>12060</v>
      </c>
      <c r="D41" s="3">
        <f t="shared" si="2"/>
        <v>22325</v>
      </c>
    </row>
    <row r="42" spans="1:4" ht="15" customHeight="1">
      <c r="A42" s="3" t="s">
        <v>4</v>
      </c>
      <c r="B42" s="3">
        <f>4431+645.2+8269+442+726</f>
        <v>14513.2</v>
      </c>
      <c r="C42" s="3">
        <v>80167.08</v>
      </c>
      <c r="D42" s="3">
        <f t="shared" si="2"/>
        <v>94680.28</v>
      </c>
    </row>
    <row r="43" spans="1:4" ht="15" customHeight="1">
      <c r="A43" s="3" t="s">
        <v>5</v>
      </c>
      <c r="B43" s="3" t="s">
        <v>19</v>
      </c>
      <c r="C43" s="3">
        <v>1100</v>
      </c>
      <c r="D43" s="3">
        <f t="shared" si="2"/>
        <v>1100</v>
      </c>
    </row>
    <row r="44" spans="1:4" ht="15" customHeight="1">
      <c r="A44" s="3" t="s">
        <v>6</v>
      </c>
      <c r="B44" s="3" t="s">
        <v>19</v>
      </c>
      <c r="C44" s="3">
        <v>266</v>
      </c>
      <c r="D44" s="3">
        <f t="shared" si="2"/>
        <v>266</v>
      </c>
    </row>
    <row r="45" spans="1:4" ht="15" customHeight="1">
      <c r="A45" s="3" t="s">
        <v>9</v>
      </c>
      <c r="B45" s="3" t="s">
        <v>19</v>
      </c>
      <c r="C45" s="3">
        <v>2057.69</v>
      </c>
      <c r="D45" s="3">
        <f t="shared" si="2"/>
        <v>2057.69</v>
      </c>
    </row>
    <row r="46" spans="1:4" ht="15" customHeight="1">
      <c r="A46" s="3" t="s">
        <v>16</v>
      </c>
      <c r="B46" s="3" t="s">
        <v>19</v>
      </c>
      <c r="C46" s="3">
        <v>2500</v>
      </c>
      <c r="D46" s="3">
        <f t="shared" si="2"/>
        <v>2500</v>
      </c>
    </row>
    <row r="47" spans="1:4" ht="15" customHeight="1">
      <c r="A47" s="3" t="s">
        <v>11</v>
      </c>
      <c r="B47" s="3" t="s">
        <v>19</v>
      </c>
      <c r="C47" s="3">
        <v>4582.1</v>
      </c>
      <c r="D47" s="3">
        <f t="shared" si="2"/>
        <v>4582.1</v>
      </c>
    </row>
    <row r="48" spans="1:4" ht="15" customHeight="1">
      <c r="A48" s="3" t="s">
        <v>7</v>
      </c>
      <c r="B48" s="3">
        <f>768.8+833.2+276.8+3007.6</f>
        <v>4886.4</v>
      </c>
      <c r="C48" s="3" t="s">
        <v>19</v>
      </c>
      <c r="D48" s="3">
        <f t="shared" si="2"/>
        <v>4886.4</v>
      </c>
    </row>
    <row r="49" spans="1:4" ht="15" customHeight="1">
      <c r="A49" s="3" t="s">
        <v>8</v>
      </c>
      <c r="B49" s="3">
        <f>1500</f>
        <v>1500</v>
      </c>
      <c r="C49" s="3" t="s">
        <v>19</v>
      </c>
      <c r="D49" s="3">
        <f t="shared" si="2"/>
        <v>1500</v>
      </c>
    </row>
    <row r="50" spans="1:4" ht="15" customHeight="1">
      <c r="A50" s="3" t="s">
        <v>10</v>
      </c>
      <c r="B50" s="3">
        <f>1000</f>
        <v>1000</v>
      </c>
      <c r="C50" s="3">
        <v>1000</v>
      </c>
      <c r="D50" s="3">
        <f t="shared" si="2"/>
        <v>2000</v>
      </c>
    </row>
    <row r="51" spans="1:4" ht="15" customHeight="1">
      <c r="A51" s="3" t="s">
        <v>13</v>
      </c>
      <c r="B51" s="3" t="s">
        <v>19</v>
      </c>
      <c r="C51" s="3">
        <v>4115</v>
      </c>
      <c r="D51" s="3">
        <f t="shared" si="2"/>
        <v>4115</v>
      </c>
    </row>
    <row r="52" spans="1:4" ht="15" customHeight="1">
      <c r="A52" s="7" t="s">
        <v>21</v>
      </c>
      <c r="B52" s="3">
        <f>1000+200+280</f>
        <v>1480</v>
      </c>
      <c r="C52" s="3" t="s">
        <v>19</v>
      </c>
      <c r="D52" s="3">
        <f t="shared" si="2"/>
        <v>1480</v>
      </c>
    </row>
    <row r="53" spans="1:4" ht="15" customHeight="1">
      <c r="A53" s="3" t="s">
        <v>12</v>
      </c>
      <c r="B53" s="3">
        <f>2000</f>
        <v>2000</v>
      </c>
      <c r="C53" s="3" t="s">
        <v>19</v>
      </c>
      <c r="D53" s="3">
        <f t="shared" si="2"/>
        <v>2000</v>
      </c>
    </row>
    <row r="54" spans="1:4" ht="15" customHeight="1">
      <c r="A54" s="3" t="s">
        <v>17</v>
      </c>
      <c r="B54" s="3">
        <f>20000+7000</f>
        <v>27000</v>
      </c>
      <c r="C54" s="3" t="s">
        <v>19</v>
      </c>
      <c r="D54" s="3">
        <f t="shared" si="2"/>
        <v>27000</v>
      </c>
    </row>
    <row r="55" spans="1:4" ht="15" customHeight="1">
      <c r="A55" s="3" t="s">
        <v>22</v>
      </c>
      <c r="B55" s="3">
        <v>103800</v>
      </c>
      <c r="C55" s="3" t="s">
        <v>19</v>
      </c>
      <c r="D55" s="3">
        <f t="shared" si="2"/>
        <v>103800</v>
      </c>
    </row>
    <row r="56" spans="1:4" ht="15" customHeight="1">
      <c r="A56" s="3"/>
      <c r="B56" s="3">
        <v>10000</v>
      </c>
      <c r="C56" s="3"/>
      <c r="D56" s="3">
        <f t="shared" si="2"/>
        <v>10000</v>
      </c>
    </row>
    <row r="57" spans="1:4" ht="15" customHeight="1">
      <c r="A57" s="4" t="s">
        <v>14</v>
      </c>
      <c r="B57" s="4">
        <f>SUM(B39:B54)</f>
        <v>2422014.5</v>
      </c>
      <c r="C57" s="4">
        <f>SUM(C39:C54)</f>
        <v>1076236.4300000002</v>
      </c>
      <c r="D57" s="4">
        <f>SUM(D39:D56)</f>
        <v>3612050.9299999997</v>
      </c>
    </row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</sheetData>
  <sheetProtection/>
  <mergeCells count="8">
    <mergeCell ref="A2:G2"/>
    <mergeCell ref="A24:G24"/>
    <mergeCell ref="E23:G23"/>
    <mergeCell ref="A1:H1"/>
    <mergeCell ref="A37:D37"/>
    <mergeCell ref="A3:D3"/>
    <mergeCell ref="E3:H3"/>
    <mergeCell ref="A23:C23"/>
  </mergeCells>
  <printOptions/>
  <pageMargins left="0.75" right="0.75" top="1" bottom="1" header="0.5" footer="0.5"/>
  <pageSetup horizontalDpi="600" verticalDpi="600" orientation="landscape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="95" zoomScaleNormal="95" zoomScalePageLayoutView="0" workbookViewId="0" topLeftCell="A1">
      <selection activeCell="E26" sqref="E26"/>
    </sheetView>
  </sheetViews>
  <sheetFormatPr defaultColWidth="9.00390625" defaultRowHeight="12.75"/>
  <cols>
    <col min="1" max="1" width="35.875" style="0" customWidth="1"/>
    <col min="2" max="2" width="13.25390625" style="0" customWidth="1"/>
    <col min="3" max="3" width="13.75390625" style="0" customWidth="1"/>
    <col min="4" max="4" width="11.875" style="0" customWidth="1"/>
    <col min="5" max="5" width="41.00390625" style="0" customWidth="1"/>
    <col min="6" max="6" width="12.75390625" style="0" customWidth="1"/>
    <col min="7" max="7" width="12.125" style="0" customWidth="1"/>
    <col min="8" max="8" width="14.75390625" style="0" customWidth="1"/>
  </cols>
  <sheetData>
    <row r="1" spans="1:8" ht="12.75">
      <c r="A1" s="46" t="s">
        <v>49</v>
      </c>
      <c r="B1" s="46"/>
      <c r="C1" s="46"/>
      <c r="D1" s="46"/>
      <c r="E1" s="46"/>
      <c r="F1" s="46"/>
      <c r="G1" s="46"/>
      <c r="H1" s="46"/>
    </row>
    <row r="2" spans="1:8" ht="18">
      <c r="A2" s="41" t="s">
        <v>29</v>
      </c>
      <c r="B2" s="42"/>
      <c r="C2" s="42"/>
      <c r="D2" s="42"/>
      <c r="E2" s="42"/>
      <c r="F2" s="42"/>
      <c r="G2" s="43"/>
      <c r="H2" s="10">
        <f>'апрель 2013'!H24</f>
        <v>299143.8000000003</v>
      </c>
    </row>
    <row r="3" spans="1:8" ht="18">
      <c r="A3" s="44" t="s">
        <v>24</v>
      </c>
      <c r="B3" s="44"/>
      <c r="C3" s="44"/>
      <c r="D3" s="44"/>
      <c r="E3" s="44" t="s">
        <v>25</v>
      </c>
      <c r="F3" s="44"/>
      <c r="G3" s="44"/>
      <c r="H3" s="44"/>
    </row>
    <row r="4" spans="1:8" ht="12.75">
      <c r="A4" s="2" t="s">
        <v>26</v>
      </c>
      <c r="B4" s="2" t="s">
        <v>23</v>
      </c>
      <c r="C4" s="2" t="s">
        <v>18</v>
      </c>
      <c r="D4" s="2" t="s">
        <v>27</v>
      </c>
      <c r="E4" s="2" t="s">
        <v>26</v>
      </c>
      <c r="F4" s="2" t="s">
        <v>23</v>
      </c>
      <c r="G4" s="2" t="s">
        <v>18</v>
      </c>
      <c r="H4" s="2" t="s">
        <v>27</v>
      </c>
    </row>
    <row r="5" spans="1:8" ht="12.75">
      <c r="A5" s="8" t="s">
        <v>30</v>
      </c>
      <c r="B5" s="3" t="s">
        <v>19</v>
      </c>
      <c r="C5" s="3">
        <v>201498.38</v>
      </c>
      <c r="D5" s="3">
        <f>SUM(B5:C5)</f>
        <v>201498.38</v>
      </c>
      <c r="E5" s="8" t="s">
        <v>1</v>
      </c>
      <c r="F5" s="3">
        <v>140665.67</v>
      </c>
      <c r="G5" s="3" t="s">
        <v>19</v>
      </c>
      <c r="H5" s="3">
        <f>SUM(F5:G5)</f>
        <v>140665.67</v>
      </c>
    </row>
    <row r="6" spans="1:8" ht="12.75">
      <c r="A6" s="8" t="s">
        <v>31</v>
      </c>
      <c r="B6" s="3">
        <v>2119700</v>
      </c>
      <c r="C6" s="3" t="s">
        <v>19</v>
      </c>
      <c r="D6" s="3">
        <f aca="true" t="shared" si="0" ref="D6:D18">SUM(B6:C6)</f>
        <v>2119700</v>
      </c>
      <c r="E6" s="8" t="s">
        <v>46</v>
      </c>
      <c r="F6" s="3">
        <v>2031735.58</v>
      </c>
      <c r="G6" s="3">
        <v>883352.71</v>
      </c>
      <c r="H6" s="3">
        <f aca="true" t="shared" si="1" ref="H6:H18">SUM(F6:G6)</f>
        <v>2915088.29</v>
      </c>
    </row>
    <row r="7" spans="1:8" ht="12.75">
      <c r="A7" s="8" t="s">
        <v>32</v>
      </c>
      <c r="B7" s="3" t="s">
        <v>19</v>
      </c>
      <c r="C7" s="3">
        <v>828301.54</v>
      </c>
      <c r="D7" s="3">
        <f t="shared" si="0"/>
        <v>828301.54</v>
      </c>
      <c r="E7" s="8" t="s">
        <v>38</v>
      </c>
      <c r="F7" s="3">
        <f>2200+2200+58+173+625+4400</f>
        <v>9656</v>
      </c>
      <c r="G7" s="3">
        <f>2200+2200+4400</f>
        <v>8800</v>
      </c>
      <c r="H7" s="3">
        <f t="shared" si="1"/>
        <v>18456</v>
      </c>
    </row>
    <row r="8" spans="1:8" ht="12.75">
      <c r="A8" s="8"/>
      <c r="B8" s="3"/>
      <c r="C8" s="3"/>
      <c r="D8" s="3">
        <f t="shared" si="0"/>
        <v>0</v>
      </c>
      <c r="E8" s="8" t="s">
        <v>4</v>
      </c>
      <c r="F8" s="3">
        <f>9867.1+3000+3900</f>
        <v>16767.1</v>
      </c>
      <c r="G8" s="3">
        <f>2908.9+2406+502.5+30475+1250+6931.3+3496.38+600+1614.1+2159.3+1678.2+2030+6000</f>
        <v>62051.68</v>
      </c>
      <c r="H8" s="3">
        <f t="shared" si="1"/>
        <v>78818.78</v>
      </c>
    </row>
    <row r="9" spans="1:8" ht="12.75">
      <c r="A9" s="8"/>
      <c r="B9" s="3"/>
      <c r="C9" s="3"/>
      <c r="D9" s="3">
        <f t="shared" si="0"/>
        <v>0</v>
      </c>
      <c r="E9" s="8" t="s">
        <v>39</v>
      </c>
      <c r="F9" s="3" t="s">
        <v>19</v>
      </c>
      <c r="G9" s="3">
        <f>100+60+100+160+100+270+250+200+60</f>
        <v>1300</v>
      </c>
      <c r="H9" s="3">
        <f t="shared" si="1"/>
        <v>1300</v>
      </c>
    </row>
    <row r="10" spans="1:8" ht="12.75">
      <c r="A10" s="8"/>
      <c r="B10" s="3"/>
      <c r="C10" s="3"/>
      <c r="D10" s="3">
        <f t="shared" si="0"/>
        <v>0</v>
      </c>
      <c r="E10" s="8" t="s">
        <v>6</v>
      </c>
      <c r="F10" s="3">
        <f>190</f>
        <v>190</v>
      </c>
      <c r="G10" s="3">
        <f>368.4+300</f>
        <v>668.4</v>
      </c>
      <c r="H10" s="3">
        <f t="shared" si="1"/>
        <v>858.4</v>
      </c>
    </row>
    <row r="11" spans="1:8" ht="12.75">
      <c r="A11" s="8"/>
      <c r="B11" s="3"/>
      <c r="C11" s="3"/>
      <c r="D11" s="3">
        <f t="shared" si="0"/>
        <v>0</v>
      </c>
      <c r="E11" s="8" t="s">
        <v>9</v>
      </c>
      <c r="F11" s="3" t="s">
        <v>19</v>
      </c>
      <c r="G11" s="3">
        <f>38.7+1069.75</f>
        <v>1108.45</v>
      </c>
      <c r="H11" s="3">
        <f t="shared" si="1"/>
        <v>1108.45</v>
      </c>
    </row>
    <row r="12" spans="1:8" ht="12.75">
      <c r="A12" s="8"/>
      <c r="B12" s="3"/>
      <c r="C12" s="3"/>
      <c r="D12" s="3">
        <f t="shared" si="0"/>
        <v>0</v>
      </c>
      <c r="E12" s="8" t="s">
        <v>40</v>
      </c>
      <c r="F12" s="3">
        <f>133.72</f>
        <v>133.72</v>
      </c>
      <c r="G12" s="3">
        <f>2890.1+1213.99+1224.37</f>
        <v>5328.46</v>
      </c>
      <c r="H12" s="3">
        <f t="shared" si="1"/>
        <v>5462.18</v>
      </c>
    </row>
    <row r="13" spans="1:8" ht="12.75">
      <c r="A13" s="8"/>
      <c r="B13" s="3"/>
      <c r="C13" s="3"/>
      <c r="D13" s="3">
        <f t="shared" si="0"/>
        <v>0</v>
      </c>
      <c r="E13" s="8" t="s">
        <v>7</v>
      </c>
      <c r="F13" s="3">
        <f>979.8</f>
        <v>979.8</v>
      </c>
      <c r="G13" s="3" t="s">
        <v>19</v>
      </c>
      <c r="H13" s="3">
        <f t="shared" si="1"/>
        <v>979.8</v>
      </c>
    </row>
    <row r="14" spans="1:8" ht="12.75">
      <c r="A14" s="8"/>
      <c r="B14" s="3"/>
      <c r="C14" s="3"/>
      <c r="D14" s="3">
        <f t="shared" si="0"/>
        <v>0</v>
      </c>
      <c r="E14" s="8" t="s">
        <v>42</v>
      </c>
      <c r="F14" s="3" t="s">
        <v>19</v>
      </c>
      <c r="G14" s="3">
        <f>960</f>
        <v>960</v>
      </c>
      <c r="H14" s="3">
        <f t="shared" si="1"/>
        <v>960</v>
      </c>
    </row>
    <row r="15" spans="1:8" ht="12.75">
      <c r="A15" s="8"/>
      <c r="B15" s="3"/>
      <c r="C15" s="3"/>
      <c r="D15" s="3">
        <f t="shared" si="0"/>
        <v>0</v>
      </c>
      <c r="E15" s="8" t="s">
        <v>13</v>
      </c>
      <c r="F15" s="3">
        <f>3900</f>
        <v>3900</v>
      </c>
      <c r="G15" s="3" t="s">
        <v>19</v>
      </c>
      <c r="H15" s="3">
        <f t="shared" si="1"/>
        <v>3900</v>
      </c>
    </row>
    <row r="16" spans="1:8" ht="12.75">
      <c r="A16" s="8"/>
      <c r="B16" s="3"/>
      <c r="C16" s="3"/>
      <c r="D16" s="3">
        <f t="shared" si="0"/>
        <v>0</v>
      </c>
      <c r="E16" s="8" t="s">
        <v>36</v>
      </c>
      <c r="F16" s="3">
        <f>1742.5+400+415</f>
        <v>2557.5</v>
      </c>
      <c r="G16" s="3" t="s">
        <v>19</v>
      </c>
      <c r="H16" s="3">
        <f t="shared" si="1"/>
        <v>2557.5</v>
      </c>
    </row>
    <row r="17" spans="1:8" ht="12.75">
      <c r="A17" s="8"/>
      <c r="B17" s="3"/>
      <c r="C17" s="3"/>
      <c r="D17" s="3">
        <f t="shared" si="0"/>
        <v>0</v>
      </c>
      <c r="E17" s="8" t="s">
        <v>47</v>
      </c>
      <c r="F17" s="3">
        <v>82900</v>
      </c>
      <c r="G17" s="3" t="s">
        <v>19</v>
      </c>
      <c r="H17" s="3">
        <f t="shared" si="1"/>
        <v>82900</v>
      </c>
    </row>
    <row r="18" spans="1:8" ht="12.75">
      <c r="A18" s="8"/>
      <c r="B18" s="3"/>
      <c r="C18" s="3"/>
      <c r="D18" s="3">
        <f t="shared" si="0"/>
        <v>0</v>
      </c>
      <c r="E18" s="8" t="s">
        <v>48</v>
      </c>
      <c r="F18" s="3">
        <f>455+1750</f>
        <v>2205</v>
      </c>
      <c r="G18" s="3" t="s">
        <v>19</v>
      </c>
      <c r="H18" s="3">
        <f t="shared" si="1"/>
        <v>2205</v>
      </c>
    </row>
    <row r="19" spans="1:8" ht="12.75">
      <c r="A19" s="36" t="s">
        <v>20</v>
      </c>
      <c r="B19" s="37"/>
      <c r="C19" s="38"/>
      <c r="D19" s="2">
        <f>SUM(D5:D18)</f>
        <v>3149499.92</v>
      </c>
      <c r="E19" s="36" t="s">
        <v>20</v>
      </c>
      <c r="F19" s="37"/>
      <c r="G19" s="37"/>
      <c r="H19" s="2">
        <f>SUM(H5:H18)</f>
        <v>3255260.07</v>
      </c>
    </row>
    <row r="20" spans="1:8" ht="18">
      <c r="A20" s="39" t="s">
        <v>43</v>
      </c>
      <c r="B20" s="39"/>
      <c r="C20" s="39"/>
      <c r="D20" s="39"/>
      <c r="E20" s="39"/>
      <c r="F20" s="39"/>
      <c r="G20" s="39"/>
      <c r="H20" s="12">
        <f>H2+D19-H19</f>
        <v>193383.65000000037</v>
      </c>
    </row>
  </sheetData>
  <sheetProtection/>
  <mergeCells count="7">
    <mergeCell ref="A1:H1"/>
    <mergeCell ref="A20:G20"/>
    <mergeCell ref="A2:G2"/>
    <mergeCell ref="A3:D3"/>
    <mergeCell ref="E3:H3"/>
    <mergeCell ref="A19:C19"/>
    <mergeCell ref="E19:G19"/>
  </mergeCells>
  <printOptions/>
  <pageMargins left="0.75" right="0.75" top="1" bottom="1" header="0.5" footer="0.5"/>
  <pageSetup horizontalDpi="600" verticalDpi="600" orientation="landscape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7"/>
  <sheetViews>
    <sheetView zoomScale="130" zoomScaleNormal="130" zoomScalePageLayoutView="0" workbookViewId="0" topLeftCell="A1">
      <selection activeCell="E29" sqref="E29"/>
    </sheetView>
  </sheetViews>
  <sheetFormatPr defaultColWidth="9.00390625" defaultRowHeight="12.75"/>
  <cols>
    <col min="1" max="1" width="36.125" style="0" customWidth="1"/>
    <col min="2" max="2" width="13.875" style="0" customWidth="1"/>
    <col min="3" max="3" width="13.125" style="0" customWidth="1"/>
    <col min="4" max="4" width="12.125" style="0" customWidth="1"/>
    <col min="5" max="5" width="40.125" style="0" customWidth="1"/>
    <col min="6" max="6" width="14.625" style="0" customWidth="1"/>
    <col min="7" max="7" width="14.125" style="0" customWidth="1"/>
    <col min="8" max="8" width="16.25390625" style="0" customWidth="1"/>
  </cols>
  <sheetData>
    <row r="1" spans="1:8" ht="12.75">
      <c r="A1" s="47" t="s">
        <v>52</v>
      </c>
      <c r="B1" s="47"/>
      <c r="C1" s="47"/>
      <c r="D1" s="47"/>
      <c r="E1" s="47"/>
      <c r="F1" s="47"/>
      <c r="G1" s="47"/>
      <c r="H1" s="47"/>
    </row>
    <row r="2" spans="1:8" ht="18">
      <c r="A2" s="41" t="s">
        <v>43</v>
      </c>
      <c r="B2" s="42"/>
      <c r="C2" s="42"/>
      <c r="D2" s="42"/>
      <c r="E2" s="42"/>
      <c r="F2" s="42"/>
      <c r="G2" s="43"/>
      <c r="H2" s="10">
        <f>'Май 2013'!H20</f>
        <v>193383.65000000037</v>
      </c>
    </row>
    <row r="3" spans="1:8" ht="18">
      <c r="A3" s="44" t="s">
        <v>24</v>
      </c>
      <c r="B3" s="44"/>
      <c r="C3" s="44"/>
      <c r="D3" s="44"/>
      <c r="E3" s="44" t="s">
        <v>25</v>
      </c>
      <c r="F3" s="44"/>
      <c r="G3" s="44"/>
      <c r="H3" s="44"/>
    </row>
    <row r="4" spans="1:8" ht="12.75">
      <c r="A4" s="2" t="s">
        <v>26</v>
      </c>
      <c r="B4" s="2" t="s">
        <v>23</v>
      </c>
      <c r="C4" s="2" t="s">
        <v>18</v>
      </c>
      <c r="D4" s="2" t="s">
        <v>27</v>
      </c>
      <c r="E4" s="2" t="s">
        <v>26</v>
      </c>
      <c r="F4" s="2" t="s">
        <v>23</v>
      </c>
      <c r="G4" s="2" t="s">
        <v>18</v>
      </c>
      <c r="H4" s="2" t="s">
        <v>27</v>
      </c>
    </row>
    <row r="5" spans="1:8" ht="12.75">
      <c r="A5" s="8" t="s">
        <v>30</v>
      </c>
      <c r="B5" s="3" t="s">
        <v>19</v>
      </c>
      <c r="C5" s="3">
        <v>198134.39</v>
      </c>
      <c r="D5" s="3">
        <f>SUM(B5:C5)</f>
        <v>198134.39</v>
      </c>
      <c r="E5" s="8" t="s">
        <v>1</v>
      </c>
      <c r="F5" s="3">
        <v>190507.74</v>
      </c>
      <c r="G5" s="3" t="s">
        <v>19</v>
      </c>
      <c r="H5" s="3">
        <f>SUM(F5:G5)</f>
        <v>190507.74</v>
      </c>
    </row>
    <row r="6" spans="1:8" ht="12.75">
      <c r="A6" s="8" t="s">
        <v>31</v>
      </c>
      <c r="B6" s="3">
        <f>2239360+70000</f>
        <v>2309360</v>
      </c>
      <c r="C6" s="3" t="s">
        <v>19</v>
      </c>
      <c r="D6" s="3">
        <f aca="true" t="shared" si="0" ref="D6:D15">SUM(B6:C6)</f>
        <v>2309360</v>
      </c>
      <c r="E6" s="8" t="s">
        <v>61</v>
      </c>
      <c r="F6" s="3">
        <f>2151178.74+6680.28</f>
        <v>2157859.02</v>
      </c>
      <c r="G6" s="3">
        <v>1012267.07</v>
      </c>
      <c r="H6" s="3">
        <f aca="true" t="shared" si="1" ref="H6:H15">SUM(F6:G6)</f>
        <v>3170126.09</v>
      </c>
    </row>
    <row r="7" spans="1:8" ht="12.75">
      <c r="A7" s="8" t="s">
        <v>32</v>
      </c>
      <c r="B7" s="3" t="s">
        <v>19</v>
      </c>
      <c r="C7" s="3">
        <v>890193.48</v>
      </c>
      <c r="D7" s="3">
        <f t="shared" si="0"/>
        <v>890193.48</v>
      </c>
      <c r="E7" s="8" t="s">
        <v>38</v>
      </c>
      <c r="F7" s="3">
        <f>50+300+2200+2200+50+80+60+2200+260+60+365+60+253+1062+140</f>
        <v>9340</v>
      </c>
      <c r="G7" s="3">
        <f>2200+2200+2200+4400</f>
        <v>11000</v>
      </c>
      <c r="H7" s="3">
        <f t="shared" si="1"/>
        <v>20340</v>
      </c>
    </row>
    <row r="8" spans="1:8" ht="12.75">
      <c r="A8" s="8"/>
      <c r="B8" s="3"/>
      <c r="C8" s="3"/>
      <c r="D8" s="3">
        <f t="shared" si="0"/>
        <v>0</v>
      </c>
      <c r="E8" s="8" t="s">
        <v>4</v>
      </c>
      <c r="F8" s="3">
        <f>19630</f>
        <v>19630</v>
      </c>
      <c r="G8" s="3">
        <f>2512.6+7503.73+3329.2+2952+2656.4+11299.2+115.2+986+290+5000+1677.8+145+144+5800+37.4+36.1+2751.14+270+514+267+402.4+84+1313.12+10000</f>
        <v>60086.29000000001</v>
      </c>
      <c r="H8" s="3">
        <f t="shared" si="1"/>
        <v>79716.29000000001</v>
      </c>
    </row>
    <row r="9" spans="1:8" ht="12.75">
      <c r="A9" s="8"/>
      <c r="B9" s="3"/>
      <c r="C9" s="3"/>
      <c r="D9" s="3">
        <f t="shared" si="0"/>
        <v>0</v>
      </c>
      <c r="E9" s="8" t="s">
        <v>39</v>
      </c>
      <c r="F9" s="3" t="s">
        <v>19</v>
      </c>
      <c r="G9" s="3">
        <f>100+200+100+100+60+100+150+210</f>
        <v>1020</v>
      </c>
      <c r="H9" s="3">
        <f t="shared" si="1"/>
        <v>1020</v>
      </c>
    </row>
    <row r="10" spans="1:8" ht="12.75">
      <c r="A10" s="8"/>
      <c r="B10" s="3"/>
      <c r="C10" s="3"/>
      <c r="D10" s="3">
        <f t="shared" si="0"/>
        <v>0</v>
      </c>
      <c r="E10" s="8" t="s">
        <v>6</v>
      </c>
      <c r="F10" s="3" t="s">
        <v>19</v>
      </c>
      <c r="G10" s="3">
        <f>2000+150</f>
        <v>2150</v>
      </c>
      <c r="H10" s="3">
        <f t="shared" si="1"/>
        <v>2150</v>
      </c>
    </row>
    <row r="11" spans="1:8" ht="12.75">
      <c r="A11" s="8"/>
      <c r="B11" s="3"/>
      <c r="C11" s="3"/>
      <c r="D11" s="3">
        <f t="shared" si="0"/>
        <v>0</v>
      </c>
      <c r="E11" s="8" t="s">
        <v>9</v>
      </c>
      <c r="F11" s="3" t="s">
        <v>19</v>
      </c>
      <c r="G11" s="3">
        <f>47.69</f>
        <v>47.69</v>
      </c>
      <c r="H11" s="3">
        <f t="shared" si="1"/>
        <v>47.69</v>
      </c>
    </row>
    <row r="12" spans="1:8" ht="12.75">
      <c r="A12" s="8"/>
      <c r="B12" s="3"/>
      <c r="C12" s="3"/>
      <c r="D12" s="3">
        <f t="shared" si="0"/>
        <v>0</v>
      </c>
      <c r="E12" s="8" t="s">
        <v>40</v>
      </c>
      <c r="F12" s="3" t="s">
        <v>19</v>
      </c>
      <c r="G12" s="3">
        <f>2393.48</f>
        <v>2393.48</v>
      </c>
      <c r="H12" s="3">
        <f t="shared" si="1"/>
        <v>2393.48</v>
      </c>
    </row>
    <row r="13" spans="1:8" ht="12.75">
      <c r="A13" s="8"/>
      <c r="B13" s="3"/>
      <c r="C13" s="3"/>
      <c r="D13" s="3">
        <f t="shared" si="0"/>
        <v>0</v>
      </c>
      <c r="E13" s="8" t="s">
        <v>7</v>
      </c>
      <c r="F13" s="3">
        <f>502.9+336.4+776.1</f>
        <v>1615.4</v>
      </c>
      <c r="G13" s="3" t="s">
        <v>19</v>
      </c>
      <c r="H13" s="3">
        <f t="shared" si="1"/>
        <v>1615.4</v>
      </c>
    </row>
    <row r="14" spans="1:8" ht="25.5" customHeight="1">
      <c r="A14" s="8"/>
      <c r="B14" s="3"/>
      <c r="C14" s="3"/>
      <c r="D14" s="3">
        <f t="shared" si="0"/>
        <v>0</v>
      </c>
      <c r="E14" s="9" t="s">
        <v>50</v>
      </c>
      <c r="F14" s="3">
        <f>355+2500+3800</f>
        <v>6655</v>
      </c>
      <c r="G14" s="3" t="s">
        <v>19</v>
      </c>
      <c r="H14" s="3">
        <f t="shared" si="1"/>
        <v>6655</v>
      </c>
    </row>
    <row r="15" spans="1:8" ht="12.75">
      <c r="A15" s="8"/>
      <c r="B15" s="3"/>
      <c r="C15" s="3"/>
      <c r="D15" s="3">
        <f t="shared" si="0"/>
        <v>0</v>
      </c>
      <c r="E15" s="8" t="s">
        <v>51</v>
      </c>
      <c r="F15" s="3">
        <v>47000</v>
      </c>
      <c r="G15" s="3" t="s">
        <v>19</v>
      </c>
      <c r="H15" s="3">
        <f t="shared" si="1"/>
        <v>47000</v>
      </c>
    </row>
    <row r="16" spans="1:8" ht="12.75">
      <c r="A16" s="36" t="s">
        <v>20</v>
      </c>
      <c r="B16" s="37"/>
      <c r="C16" s="38"/>
      <c r="D16" s="2">
        <f>SUM(D5:D15)</f>
        <v>3397687.87</v>
      </c>
      <c r="E16" s="36" t="s">
        <v>20</v>
      </c>
      <c r="F16" s="37"/>
      <c r="G16" s="37"/>
      <c r="H16" s="2">
        <f>SUM(H5:H15)</f>
        <v>3521571.69</v>
      </c>
    </row>
    <row r="17" spans="1:8" ht="18">
      <c r="A17" s="39" t="s">
        <v>44</v>
      </c>
      <c r="B17" s="39"/>
      <c r="C17" s="39"/>
      <c r="D17" s="39"/>
      <c r="E17" s="39"/>
      <c r="F17" s="39"/>
      <c r="G17" s="39"/>
      <c r="H17" s="12">
        <f>H2+D16-H16</f>
        <v>69499.83000000054</v>
      </c>
    </row>
  </sheetData>
  <sheetProtection/>
  <mergeCells count="7">
    <mergeCell ref="A1:H1"/>
    <mergeCell ref="A17:G17"/>
    <mergeCell ref="A2:G2"/>
    <mergeCell ref="A3:D3"/>
    <mergeCell ref="E3:H3"/>
    <mergeCell ref="A16:C16"/>
    <mergeCell ref="E16:G16"/>
  </mergeCells>
  <printOptions/>
  <pageMargins left="0.75" right="0.75" top="1" bottom="1" header="0.5" footer="0.5"/>
  <pageSetup horizontalDpi="600" verticalDpi="600" orientation="landscape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1"/>
  <sheetViews>
    <sheetView zoomScale="130" zoomScaleNormal="130" zoomScalePageLayoutView="0" workbookViewId="0" topLeftCell="A1">
      <selection activeCell="E23" sqref="E23"/>
    </sheetView>
  </sheetViews>
  <sheetFormatPr defaultColWidth="9.00390625" defaultRowHeight="12.75"/>
  <cols>
    <col min="1" max="1" width="35.75390625" style="0" customWidth="1"/>
    <col min="2" max="2" width="13.25390625" style="0" customWidth="1"/>
    <col min="3" max="3" width="13.00390625" style="0" customWidth="1"/>
    <col min="4" max="4" width="12.00390625" style="0" customWidth="1"/>
    <col min="5" max="5" width="37.25390625" style="0" customWidth="1"/>
    <col min="6" max="6" width="15.75390625" style="0" customWidth="1"/>
    <col min="7" max="7" width="13.00390625" style="0" customWidth="1"/>
    <col min="8" max="8" width="16.00390625" style="0" customWidth="1"/>
  </cols>
  <sheetData>
    <row r="1" spans="1:8" ht="12.75">
      <c r="A1" s="47" t="s">
        <v>73</v>
      </c>
      <c r="B1" s="47"/>
      <c r="C1" s="47"/>
      <c r="D1" s="47"/>
      <c r="E1" s="47"/>
      <c r="F1" s="47"/>
      <c r="G1" s="47"/>
      <c r="H1" s="47"/>
    </row>
    <row r="2" spans="1:8" ht="18">
      <c r="A2" s="41" t="s">
        <v>44</v>
      </c>
      <c r="B2" s="42"/>
      <c r="C2" s="42"/>
      <c r="D2" s="42"/>
      <c r="E2" s="42"/>
      <c r="F2" s="42"/>
      <c r="G2" s="43"/>
      <c r="H2" s="10">
        <f>'Июнь 2013'!H17</f>
        <v>69499.83000000054</v>
      </c>
    </row>
    <row r="3" spans="1:8" ht="18">
      <c r="A3" s="44" t="s">
        <v>24</v>
      </c>
      <c r="B3" s="44"/>
      <c r="C3" s="44"/>
      <c r="D3" s="44"/>
      <c r="E3" s="44" t="s">
        <v>25</v>
      </c>
      <c r="F3" s="44"/>
      <c r="G3" s="44"/>
      <c r="H3" s="44"/>
    </row>
    <row r="4" spans="1:8" ht="12.75">
      <c r="A4" s="2" t="s">
        <v>26</v>
      </c>
      <c r="B4" s="2" t="s">
        <v>23</v>
      </c>
      <c r="C4" s="2" t="s">
        <v>18</v>
      </c>
      <c r="D4" s="2" t="s">
        <v>27</v>
      </c>
      <c r="E4" s="2" t="s">
        <v>26</v>
      </c>
      <c r="F4" s="2" t="s">
        <v>23</v>
      </c>
      <c r="G4" s="2" t="s">
        <v>18</v>
      </c>
      <c r="H4" s="2" t="s">
        <v>27</v>
      </c>
    </row>
    <row r="5" spans="1:8" ht="12.75">
      <c r="A5" s="8" t="s">
        <v>30</v>
      </c>
      <c r="B5" s="3" t="s">
        <v>19</v>
      </c>
      <c r="C5" s="3">
        <v>227781.63</v>
      </c>
      <c r="D5" s="3">
        <f>SUM(B5:C5)</f>
        <v>227781.63</v>
      </c>
      <c r="E5" s="8" t="s">
        <v>1</v>
      </c>
      <c r="F5" s="3">
        <v>254720.54</v>
      </c>
      <c r="G5" s="3" t="s">
        <v>19</v>
      </c>
      <c r="H5" s="3">
        <f>SUM(F5:G5)</f>
        <v>254720.54</v>
      </c>
    </row>
    <row r="6" spans="1:8" ht="12.75">
      <c r="A6" s="8" t="s">
        <v>31</v>
      </c>
      <c r="B6" s="3">
        <v>2598000</v>
      </c>
      <c r="C6" s="3" t="s">
        <v>19</v>
      </c>
      <c r="D6" s="3">
        <f aca="true" t="shared" si="0" ref="D6:D19">SUM(B6:C6)</f>
        <v>2598000</v>
      </c>
      <c r="E6" s="8" t="s">
        <v>72</v>
      </c>
      <c r="F6" s="3">
        <v>2246457.07</v>
      </c>
      <c r="G6" s="3">
        <v>845950.84</v>
      </c>
      <c r="H6" s="3">
        <f aca="true" t="shared" si="1" ref="H6:H19">SUM(F6:G6)</f>
        <v>3092407.9099999997</v>
      </c>
    </row>
    <row r="7" spans="1:8" ht="12.75">
      <c r="A7" s="8" t="s">
        <v>32</v>
      </c>
      <c r="B7" s="3" t="s">
        <v>19</v>
      </c>
      <c r="C7" s="3">
        <v>652685.41</v>
      </c>
      <c r="D7" s="3">
        <f t="shared" si="0"/>
        <v>652685.41</v>
      </c>
      <c r="E7" s="8" t="s">
        <v>38</v>
      </c>
      <c r="F7" s="3">
        <v>7190</v>
      </c>
      <c r="G7" s="3">
        <v>11000</v>
      </c>
      <c r="H7" s="3">
        <f t="shared" si="1"/>
        <v>18190</v>
      </c>
    </row>
    <row r="8" spans="1:8" ht="12.75">
      <c r="A8" s="8"/>
      <c r="B8" s="3"/>
      <c r="C8" s="3"/>
      <c r="D8" s="3">
        <f t="shared" si="0"/>
        <v>0</v>
      </c>
      <c r="E8" s="8" t="s">
        <v>4</v>
      </c>
      <c r="F8" s="3">
        <v>27011.38</v>
      </c>
      <c r="G8" s="3">
        <v>38616.52</v>
      </c>
      <c r="H8" s="3">
        <f t="shared" si="1"/>
        <v>65627.9</v>
      </c>
    </row>
    <row r="9" spans="1:8" ht="12.75">
      <c r="A9" s="8"/>
      <c r="B9" s="3"/>
      <c r="C9" s="3"/>
      <c r="D9" s="3">
        <f t="shared" si="0"/>
        <v>0</v>
      </c>
      <c r="E9" s="8" t="s">
        <v>39</v>
      </c>
      <c r="F9" s="3"/>
      <c r="G9" s="3">
        <v>750</v>
      </c>
      <c r="H9" s="3">
        <f t="shared" si="1"/>
        <v>750</v>
      </c>
    </row>
    <row r="10" spans="1:8" ht="12.75">
      <c r="A10" s="8"/>
      <c r="B10" s="3"/>
      <c r="C10" s="3"/>
      <c r="D10" s="3">
        <f t="shared" si="0"/>
        <v>0</v>
      </c>
      <c r="E10" s="8" t="s">
        <v>6</v>
      </c>
      <c r="F10" s="3" t="s">
        <v>19</v>
      </c>
      <c r="G10" s="3">
        <v>1990</v>
      </c>
      <c r="H10" s="3">
        <f t="shared" si="1"/>
        <v>1990</v>
      </c>
    </row>
    <row r="11" spans="1:8" ht="12.75">
      <c r="A11" s="8"/>
      <c r="B11" s="3"/>
      <c r="C11" s="3"/>
      <c r="D11" s="3">
        <f t="shared" si="0"/>
        <v>0</v>
      </c>
      <c r="E11" s="8" t="s">
        <v>78</v>
      </c>
      <c r="F11" s="3" t="s">
        <v>19</v>
      </c>
      <c r="G11" s="3">
        <v>2800</v>
      </c>
      <c r="H11" s="3">
        <f t="shared" si="1"/>
        <v>2800</v>
      </c>
    </row>
    <row r="12" spans="1:8" ht="12.75">
      <c r="A12" s="8"/>
      <c r="B12" s="3"/>
      <c r="C12" s="3"/>
      <c r="D12" s="3">
        <f t="shared" si="0"/>
        <v>0</v>
      </c>
      <c r="E12" s="8" t="s">
        <v>9</v>
      </c>
      <c r="F12" s="3" t="s">
        <v>19</v>
      </c>
      <c r="G12" s="3">
        <v>2000</v>
      </c>
      <c r="H12" s="3">
        <f t="shared" si="1"/>
        <v>2000</v>
      </c>
    </row>
    <row r="13" spans="1:8" ht="12.75">
      <c r="A13" s="8"/>
      <c r="B13" s="3"/>
      <c r="C13" s="3"/>
      <c r="D13" s="3">
        <f t="shared" si="0"/>
        <v>0</v>
      </c>
      <c r="E13" s="8" t="s">
        <v>40</v>
      </c>
      <c r="F13" s="3">
        <v>452.87</v>
      </c>
      <c r="G13" s="3">
        <v>2265.56</v>
      </c>
      <c r="H13" s="3">
        <f t="shared" si="1"/>
        <v>2718.43</v>
      </c>
    </row>
    <row r="14" spans="1:8" ht="12.75">
      <c r="A14" s="8"/>
      <c r="B14" s="3"/>
      <c r="C14" s="3"/>
      <c r="D14" s="3">
        <f t="shared" si="0"/>
        <v>0</v>
      </c>
      <c r="E14" s="8" t="s">
        <v>7</v>
      </c>
      <c r="F14" s="3">
        <v>2280.3</v>
      </c>
      <c r="G14" s="3" t="s">
        <v>19</v>
      </c>
      <c r="H14" s="3">
        <f t="shared" si="1"/>
        <v>2280.3</v>
      </c>
    </row>
    <row r="15" spans="1:8" ht="12.75" customHeight="1">
      <c r="A15" s="8"/>
      <c r="B15" s="3"/>
      <c r="C15" s="3"/>
      <c r="D15" s="3">
        <f t="shared" si="0"/>
        <v>0</v>
      </c>
      <c r="E15" s="9" t="s">
        <v>77</v>
      </c>
      <c r="F15" s="3">
        <v>6835</v>
      </c>
      <c r="G15" s="3" t="s">
        <v>19</v>
      </c>
      <c r="H15" s="3">
        <f t="shared" si="1"/>
        <v>6835</v>
      </c>
    </row>
    <row r="16" spans="1:8" ht="12.75">
      <c r="A16" s="8"/>
      <c r="B16" s="3"/>
      <c r="C16" s="3"/>
      <c r="D16" s="3">
        <f t="shared" si="0"/>
        <v>0</v>
      </c>
      <c r="E16" s="8" t="s">
        <v>42</v>
      </c>
      <c r="F16" s="3">
        <v>1320</v>
      </c>
      <c r="G16" s="3">
        <v>1000</v>
      </c>
      <c r="H16" s="3">
        <f t="shared" si="1"/>
        <v>2320</v>
      </c>
    </row>
    <row r="17" spans="1:8" ht="12.75">
      <c r="A17" s="8"/>
      <c r="B17" s="3"/>
      <c r="C17" s="3"/>
      <c r="D17" s="3">
        <f t="shared" si="0"/>
        <v>0</v>
      </c>
      <c r="E17" s="8" t="s">
        <v>74</v>
      </c>
      <c r="F17" s="3">
        <v>3000</v>
      </c>
      <c r="G17" s="3" t="s">
        <v>19</v>
      </c>
      <c r="H17" s="3">
        <f t="shared" si="1"/>
        <v>3000</v>
      </c>
    </row>
    <row r="18" spans="1:8" ht="12.75">
      <c r="A18" s="8"/>
      <c r="B18" s="3"/>
      <c r="C18" s="3"/>
      <c r="D18" s="3">
        <f t="shared" si="0"/>
        <v>0</v>
      </c>
      <c r="E18" s="8" t="s">
        <v>75</v>
      </c>
      <c r="F18" s="3">
        <v>1430</v>
      </c>
      <c r="G18" s="3" t="s">
        <v>19</v>
      </c>
      <c r="H18" s="3">
        <f t="shared" si="1"/>
        <v>1430</v>
      </c>
    </row>
    <row r="19" spans="1:8" ht="12.75">
      <c r="A19" s="8"/>
      <c r="B19" s="3"/>
      <c r="C19" s="3"/>
      <c r="D19" s="3">
        <f t="shared" si="0"/>
        <v>0</v>
      </c>
      <c r="E19" s="8" t="s">
        <v>76</v>
      </c>
      <c r="F19" s="3">
        <v>4865</v>
      </c>
      <c r="G19" s="3" t="s">
        <v>19</v>
      </c>
      <c r="H19" s="3">
        <f t="shared" si="1"/>
        <v>4865</v>
      </c>
    </row>
    <row r="20" spans="1:8" ht="12.75">
      <c r="A20" s="36" t="s">
        <v>20</v>
      </c>
      <c r="B20" s="37"/>
      <c r="C20" s="38"/>
      <c r="D20" s="2">
        <f>SUM(D5:D19)</f>
        <v>3478467.04</v>
      </c>
      <c r="E20" s="36" t="s">
        <v>20</v>
      </c>
      <c r="F20" s="37"/>
      <c r="G20" s="37"/>
      <c r="H20" s="2">
        <f>SUM(H5:H19)</f>
        <v>3461935.0799999996</v>
      </c>
    </row>
    <row r="21" spans="1:8" ht="18">
      <c r="A21" s="39" t="s">
        <v>53</v>
      </c>
      <c r="B21" s="39"/>
      <c r="C21" s="39"/>
      <c r="D21" s="39"/>
      <c r="E21" s="39"/>
      <c r="F21" s="39"/>
      <c r="G21" s="39"/>
      <c r="H21" s="12">
        <f>H2+D20-H20</f>
        <v>86031.79000000097</v>
      </c>
    </row>
  </sheetData>
  <sheetProtection/>
  <mergeCells count="7">
    <mergeCell ref="A20:C20"/>
    <mergeCell ref="E20:G20"/>
    <mergeCell ref="A21:G21"/>
    <mergeCell ref="A1:H1"/>
    <mergeCell ref="A2:G2"/>
    <mergeCell ref="A3:D3"/>
    <mergeCell ref="E3:H3"/>
  </mergeCells>
  <printOptions/>
  <pageMargins left="0.75" right="0.75" top="1" bottom="1" header="0.5" footer="0.5"/>
  <pageSetup horizontalDpi="600" verticalDpi="600" orientation="landscape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6"/>
  <sheetViews>
    <sheetView zoomScale="130" zoomScaleNormal="130" zoomScalePageLayoutView="0" workbookViewId="0" topLeftCell="A1">
      <selection activeCell="B28" sqref="B28"/>
    </sheetView>
  </sheetViews>
  <sheetFormatPr defaultColWidth="9.00390625" defaultRowHeight="12.75"/>
  <cols>
    <col min="1" max="1" width="36.875" style="0" customWidth="1"/>
    <col min="2" max="2" width="13.125" style="0" customWidth="1"/>
    <col min="3" max="3" width="12.25390625" style="0" customWidth="1"/>
    <col min="4" max="4" width="12.75390625" style="0" customWidth="1"/>
    <col min="5" max="5" width="41.25390625" style="0" customWidth="1"/>
    <col min="6" max="7" width="14.375" style="0" customWidth="1"/>
    <col min="8" max="8" width="17.75390625" style="0" customWidth="1"/>
  </cols>
  <sheetData>
    <row r="1" spans="1:8" ht="12.75">
      <c r="A1" s="47" t="s">
        <v>79</v>
      </c>
      <c r="B1" s="47"/>
      <c r="C1" s="47"/>
      <c r="D1" s="47"/>
      <c r="E1" s="47"/>
      <c r="F1" s="47"/>
      <c r="G1" s="47"/>
      <c r="H1" s="47"/>
    </row>
    <row r="2" spans="1:8" ht="18">
      <c r="A2" s="41" t="s">
        <v>53</v>
      </c>
      <c r="B2" s="42"/>
      <c r="C2" s="42"/>
      <c r="D2" s="42"/>
      <c r="E2" s="42"/>
      <c r="F2" s="42"/>
      <c r="G2" s="43"/>
      <c r="H2" s="10">
        <f>'Июль 2013'!H21</f>
        <v>86031.79000000097</v>
      </c>
    </row>
    <row r="3" spans="1:8" ht="18">
      <c r="A3" s="44" t="s">
        <v>24</v>
      </c>
      <c r="B3" s="44"/>
      <c r="C3" s="44"/>
      <c r="D3" s="44"/>
      <c r="E3" s="44" t="s">
        <v>25</v>
      </c>
      <c r="F3" s="44"/>
      <c r="G3" s="44"/>
      <c r="H3" s="44"/>
    </row>
    <row r="4" spans="1:8" ht="12.75">
      <c r="A4" s="2" t="s">
        <v>26</v>
      </c>
      <c r="B4" s="2" t="s">
        <v>23</v>
      </c>
      <c r="C4" s="2" t="s">
        <v>18</v>
      </c>
      <c r="D4" s="2" t="s">
        <v>27</v>
      </c>
      <c r="E4" s="2" t="s">
        <v>26</v>
      </c>
      <c r="F4" s="2" t="s">
        <v>23</v>
      </c>
      <c r="G4" s="2" t="s">
        <v>18</v>
      </c>
      <c r="H4" s="2" t="s">
        <v>27</v>
      </c>
    </row>
    <row r="5" spans="1:8" ht="12.75">
      <c r="A5" s="8" t="s">
        <v>30</v>
      </c>
      <c r="B5" s="3" t="s">
        <v>19</v>
      </c>
      <c r="C5" s="3">
        <v>222931.45</v>
      </c>
      <c r="D5" s="3">
        <f>SUM(B5:C5)</f>
        <v>222931.45</v>
      </c>
      <c r="E5" s="8" t="s">
        <v>1</v>
      </c>
      <c r="F5" s="3">
        <v>91000</v>
      </c>
      <c r="G5" s="3" t="s">
        <v>19</v>
      </c>
      <c r="H5" s="3">
        <f>SUM(F5:G5)</f>
        <v>91000</v>
      </c>
    </row>
    <row r="6" spans="1:8" ht="12.75">
      <c r="A6" s="8" t="s">
        <v>31</v>
      </c>
      <c r="B6" s="3">
        <v>2237750</v>
      </c>
      <c r="C6" s="3" t="s">
        <v>19</v>
      </c>
      <c r="D6" s="3">
        <f aca="true" t="shared" si="0" ref="D6:D21">SUM(B6:C6)</f>
        <v>2237750</v>
      </c>
      <c r="E6" s="8" t="s">
        <v>89</v>
      </c>
      <c r="F6" s="3">
        <v>2116736.79</v>
      </c>
      <c r="G6" s="3">
        <v>868742.29</v>
      </c>
      <c r="H6" s="3">
        <f aca="true" t="shared" si="1" ref="H6:H21">SUM(F6:G6)</f>
        <v>2985479.08</v>
      </c>
    </row>
    <row r="7" spans="1:8" ht="12.75">
      <c r="A7" s="8" t="s">
        <v>32</v>
      </c>
      <c r="B7" s="3" t="s">
        <v>19</v>
      </c>
      <c r="C7" s="3">
        <v>647000</v>
      </c>
      <c r="D7" s="3">
        <f t="shared" si="0"/>
        <v>647000</v>
      </c>
      <c r="E7" s="8" t="s">
        <v>38</v>
      </c>
      <c r="F7" s="3">
        <v>12957</v>
      </c>
      <c r="G7" s="3">
        <v>11000</v>
      </c>
      <c r="H7" s="3">
        <f t="shared" si="1"/>
        <v>23957</v>
      </c>
    </row>
    <row r="8" spans="1:8" ht="12.75">
      <c r="A8" s="8"/>
      <c r="B8" s="3"/>
      <c r="C8" s="3"/>
      <c r="D8" s="3">
        <f t="shared" si="0"/>
        <v>0</v>
      </c>
      <c r="E8" s="8" t="s">
        <v>4</v>
      </c>
      <c r="F8" s="3">
        <v>9700</v>
      </c>
      <c r="G8" s="3">
        <v>30460.55</v>
      </c>
      <c r="H8" s="3">
        <f t="shared" si="1"/>
        <v>40160.55</v>
      </c>
    </row>
    <row r="9" spans="1:8" ht="12.75">
      <c r="A9" s="8"/>
      <c r="B9" s="3"/>
      <c r="C9" s="3"/>
      <c r="D9" s="3">
        <f t="shared" si="0"/>
        <v>0</v>
      </c>
      <c r="E9" s="8" t="s">
        <v>39</v>
      </c>
      <c r="F9" s="3" t="s">
        <v>19</v>
      </c>
      <c r="G9" s="3">
        <v>710</v>
      </c>
      <c r="H9" s="3">
        <f t="shared" si="1"/>
        <v>710</v>
      </c>
    </row>
    <row r="10" spans="1:8" ht="12.75">
      <c r="A10" s="8"/>
      <c r="B10" s="3"/>
      <c r="C10" s="3"/>
      <c r="D10" s="3">
        <f t="shared" si="0"/>
        <v>0</v>
      </c>
      <c r="E10" s="8" t="s">
        <v>102</v>
      </c>
      <c r="F10" s="3">
        <v>3750</v>
      </c>
      <c r="G10" s="3" t="s">
        <v>19</v>
      </c>
      <c r="H10" s="3">
        <f t="shared" si="1"/>
        <v>3750</v>
      </c>
    </row>
    <row r="11" spans="1:8" ht="12.75">
      <c r="A11" s="8"/>
      <c r="B11" s="3"/>
      <c r="C11" s="3"/>
      <c r="D11" s="3">
        <f t="shared" si="0"/>
        <v>0</v>
      </c>
      <c r="E11" s="8" t="s">
        <v>9</v>
      </c>
      <c r="F11" s="3" t="s">
        <v>19</v>
      </c>
      <c r="G11" s="3">
        <v>155</v>
      </c>
      <c r="H11" s="3">
        <f t="shared" si="1"/>
        <v>155</v>
      </c>
    </row>
    <row r="12" spans="1:8" ht="12.75">
      <c r="A12" s="8"/>
      <c r="B12" s="3"/>
      <c r="C12" s="3"/>
      <c r="D12" s="3">
        <f t="shared" si="0"/>
        <v>0</v>
      </c>
      <c r="E12" s="8" t="s">
        <v>40</v>
      </c>
      <c r="F12" s="3">
        <v>200</v>
      </c>
      <c r="G12" s="3">
        <f>389.35+428.33</f>
        <v>817.6800000000001</v>
      </c>
      <c r="H12" s="3">
        <f t="shared" si="1"/>
        <v>1017.6800000000001</v>
      </c>
    </row>
    <row r="13" spans="1:8" ht="12.75">
      <c r="A13" s="8"/>
      <c r="B13" s="3"/>
      <c r="C13" s="3"/>
      <c r="D13" s="3">
        <f t="shared" si="0"/>
        <v>0</v>
      </c>
      <c r="E13" s="8" t="s">
        <v>7</v>
      </c>
      <c r="F13" s="3">
        <v>1226.8</v>
      </c>
      <c r="G13" s="3" t="s">
        <v>19</v>
      </c>
      <c r="H13" s="3">
        <f t="shared" si="1"/>
        <v>1226.8</v>
      </c>
    </row>
    <row r="14" spans="1:8" ht="12.75">
      <c r="A14" s="8"/>
      <c r="B14" s="3"/>
      <c r="C14" s="3"/>
      <c r="D14" s="3">
        <f t="shared" si="0"/>
        <v>0</v>
      </c>
      <c r="E14" s="9" t="s">
        <v>100</v>
      </c>
      <c r="F14" s="3">
        <v>132.6</v>
      </c>
      <c r="G14" s="3" t="s">
        <v>19</v>
      </c>
      <c r="H14" s="3">
        <f t="shared" si="1"/>
        <v>132.6</v>
      </c>
    </row>
    <row r="15" spans="1:8" ht="12.75">
      <c r="A15" s="8"/>
      <c r="B15" s="3"/>
      <c r="C15" s="3"/>
      <c r="D15" s="3">
        <f t="shared" si="0"/>
        <v>0</v>
      </c>
      <c r="E15" s="8" t="s">
        <v>99</v>
      </c>
      <c r="F15" s="3">
        <v>811.2</v>
      </c>
      <c r="G15" s="3" t="s">
        <v>19</v>
      </c>
      <c r="H15" s="3">
        <f t="shared" si="1"/>
        <v>811.2</v>
      </c>
    </row>
    <row r="16" spans="1:8" ht="12.75">
      <c r="A16" s="8"/>
      <c r="B16" s="3"/>
      <c r="C16" s="3"/>
      <c r="D16" s="3">
        <f t="shared" si="0"/>
        <v>0</v>
      </c>
      <c r="E16" s="8" t="s">
        <v>98</v>
      </c>
      <c r="F16" s="3">
        <v>6475</v>
      </c>
      <c r="G16" s="3" t="s">
        <v>19</v>
      </c>
      <c r="H16" s="3">
        <f t="shared" si="1"/>
        <v>6475</v>
      </c>
    </row>
    <row r="17" spans="1:8" ht="12.75">
      <c r="A17" s="8"/>
      <c r="B17" s="3"/>
      <c r="C17" s="3"/>
      <c r="D17" s="3">
        <f t="shared" si="0"/>
        <v>0</v>
      </c>
      <c r="E17" s="8" t="s">
        <v>97</v>
      </c>
      <c r="F17" s="3">
        <v>1280</v>
      </c>
      <c r="G17" s="3" t="s">
        <v>19</v>
      </c>
      <c r="H17" s="3">
        <f t="shared" si="1"/>
        <v>1280</v>
      </c>
    </row>
    <row r="18" spans="1:8" ht="12.75">
      <c r="A18" s="8"/>
      <c r="B18" s="3"/>
      <c r="C18" s="3"/>
      <c r="D18" s="3">
        <f t="shared" si="0"/>
        <v>0</v>
      </c>
      <c r="E18" s="8" t="s">
        <v>101</v>
      </c>
      <c r="F18" s="3">
        <v>779</v>
      </c>
      <c r="G18" s="3" t="s">
        <v>19</v>
      </c>
      <c r="H18" s="3">
        <f t="shared" si="1"/>
        <v>779</v>
      </c>
    </row>
    <row r="19" spans="1:8" ht="12.75">
      <c r="A19" s="13"/>
      <c r="B19" s="3"/>
      <c r="C19" s="15"/>
      <c r="D19" s="3">
        <f t="shared" si="0"/>
        <v>0</v>
      </c>
      <c r="E19" s="13" t="s">
        <v>64</v>
      </c>
      <c r="F19" s="3">
        <v>1500</v>
      </c>
      <c r="G19" s="3" t="s">
        <v>19</v>
      </c>
      <c r="H19" s="3">
        <f t="shared" si="1"/>
        <v>1500</v>
      </c>
    </row>
    <row r="20" spans="1:8" ht="12.75">
      <c r="A20" s="13"/>
      <c r="B20" s="3"/>
      <c r="C20" s="15"/>
      <c r="D20" s="3">
        <f t="shared" si="0"/>
        <v>0</v>
      </c>
      <c r="E20" s="13" t="s">
        <v>111</v>
      </c>
      <c r="F20" s="3" t="s">
        <v>19</v>
      </c>
      <c r="G20" s="3">
        <v>2830</v>
      </c>
      <c r="H20" s="3">
        <f t="shared" si="1"/>
        <v>2830</v>
      </c>
    </row>
    <row r="21" spans="1:8" ht="12.75">
      <c r="A21" s="13"/>
      <c r="B21" s="3"/>
      <c r="C21" s="15"/>
      <c r="D21" s="3">
        <f t="shared" si="0"/>
        <v>0</v>
      </c>
      <c r="E21" s="13"/>
      <c r="F21" s="3" t="s">
        <v>19</v>
      </c>
      <c r="G21" s="14" t="s">
        <v>19</v>
      </c>
      <c r="H21" s="3">
        <f t="shared" si="1"/>
        <v>0</v>
      </c>
    </row>
    <row r="22" spans="1:8" ht="12.75">
      <c r="A22" s="36" t="s">
        <v>20</v>
      </c>
      <c r="B22" s="37"/>
      <c r="C22" s="38"/>
      <c r="D22" s="2">
        <f>SUM(D5:D21)</f>
        <v>3107681.45</v>
      </c>
      <c r="E22" s="36" t="s">
        <v>20</v>
      </c>
      <c r="F22" s="37"/>
      <c r="G22" s="37"/>
      <c r="H22" s="2">
        <f>SUM(H5:H21)</f>
        <v>3161263.91</v>
      </c>
    </row>
    <row r="23" spans="1:8" ht="18">
      <c r="A23" s="39" t="s">
        <v>80</v>
      </c>
      <c r="B23" s="39"/>
      <c r="C23" s="39"/>
      <c r="D23" s="39"/>
      <c r="E23" s="39"/>
      <c r="F23" s="39"/>
      <c r="G23" s="39"/>
      <c r="H23" s="12">
        <f>H2+D22-H22</f>
        <v>32449.330000001006</v>
      </c>
    </row>
    <row r="27" spans="5:9" ht="12.75">
      <c r="E27" s="16"/>
      <c r="F27" s="16"/>
      <c r="G27" s="16"/>
      <c r="H27" s="16"/>
      <c r="I27" s="16"/>
    </row>
    <row r="28" spans="5:9" ht="12.75">
      <c r="E28" s="16"/>
      <c r="F28" s="5"/>
      <c r="G28" s="5"/>
      <c r="H28" s="5"/>
      <c r="I28" s="16"/>
    </row>
    <row r="29" spans="5:9" ht="12.75">
      <c r="E29" s="16"/>
      <c r="F29" s="5"/>
      <c r="G29" s="5"/>
      <c r="H29" s="5"/>
      <c r="I29" s="16"/>
    </row>
    <row r="30" spans="5:9" ht="12.75">
      <c r="E30" s="16"/>
      <c r="F30" s="5"/>
      <c r="G30" s="5"/>
      <c r="H30" s="5"/>
      <c r="I30" s="16"/>
    </row>
    <row r="31" spans="5:9" ht="12.75">
      <c r="E31" s="16"/>
      <c r="F31" s="5"/>
      <c r="G31" s="5"/>
      <c r="H31" s="5"/>
      <c r="I31" s="16"/>
    </row>
    <row r="32" spans="5:9" ht="12.75">
      <c r="E32" s="16"/>
      <c r="F32" s="5"/>
      <c r="G32" s="5"/>
      <c r="H32" s="5"/>
      <c r="I32" s="16"/>
    </row>
    <row r="33" spans="5:9" ht="12.75">
      <c r="E33" s="16"/>
      <c r="F33" s="5"/>
      <c r="G33" s="5"/>
      <c r="H33" s="5"/>
      <c r="I33" s="16"/>
    </row>
    <row r="34" spans="5:9" ht="12.75">
      <c r="E34" s="16"/>
      <c r="F34" s="5"/>
      <c r="G34" s="5"/>
      <c r="H34" s="5"/>
      <c r="I34" s="16"/>
    </row>
    <row r="35" spans="5:9" ht="12.75">
      <c r="E35" s="16"/>
      <c r="F35" s="5"/>
      <c r="G35" s="5"/>
      <c r="H35" s="5"/>
      <c r="I35" s="16"/>
    </row>
    <row r="36" spans="5:9" ht="12.75">
      <c r="E36" s="16"/>
      <c r="F36" s="5"/>
      <c r="G36" s="5"/>
      <c r="H36" s="5"/>
      <c r="I36" s="16"/>
    </row>
    <row r="37" spans="5:9" ht="12.75">
      <c r="E37" s="16"/>
      <c r="F37" s="5"/>
      <c r="G37" s="5"/>
      <c r="H37" s="5"/>
      <c r="I37" s="16"/>
    </row>
    <row r="38" spans="5:9" ht="12.75">
      <c r="E38" s="16"/>
      <c r="F38" s="5"/>
      <c r="G38" s="5"/>
      <c r="H38" s="5"/>
      <c r="I38" s="16"/>
    </row>
    <row r="39" spans="5:9" ht="12.75">
      <c r="E39" s="16"/>
      <c r="F39" s="5"/>
      <c r="G39" s="5"/>
      <c r="H39" s="5"/>
      <c r="I39" s="16"/>
    </row>
    <row r="40" spans="5:9" ht="12.75">
      <c r="E40" s="16"/>
      <c r="F40" s="5"/>
      <c r="G40" s="5"/>
      <c r="H40" s="5"/>
      <c r="I40" s="16"/>
    </row>
    <row r="41" spans="5:9" ht="12.75">
      <c r="E41" s="16"/>
      <c r="F41" s="5"/>
      <c r="G41" s="5"/>
      <c r="H41" s="5"/>
      <c r="I41" s="16"/>
    </row>
    <row r="42" spans="5:9" ht="12.75">
      <c r="E42" s="16"/>
      <c r="F42" s="5"/>
      <c r="G42" s="5"/>
      <c r="H42" s="5"/>
      <c r="I42" s="16"/>
    </row>
    <row r="43" spans="5:9" ht="12.75">
      <c r="E43" s="16"/>
      <c r="F43" s="5"/>
      <c r="G43" s="5"/>
      <c r="H43" s="5"/>
      <c r="I43" s="16"/>
    </row>
    <row r="44" spans="5:9" ht="12.75">
      <c r="E44" s="16"/>
      <c r="F44" s="5"/>
      <c r="G44" s="5"/>
      <c r="H44" s="5"/>
      <c r="I44" s="16"/>
    </row>
    <row r="45" spans="5:9" ht="12.75">
      <c r="E45" s="16"/>
      <c r="F45" s="16"/>
      <c r="G45" s="16"/>
      <c r="H45" s="16"/>
      <c r="I45" s="16"/>
    </row>
    <row r="46" spans="5:9" ht="12.75">
      <c r="E46" s="16"/>
      <c r="F46" s="16"/>
      <c r="G46" s="16"/>
      <c r="H46" s="16"/>
      <c r="I46" s="16"/>
    </row>
  </sheetData>
  <sheetProtection/>
  <mergeCells count="7">
    <mergeCell ref="A22:C22"/>
    <mergeCell ref="E22:G22"/>
    <mergeCell ref="A23:G23"/>
    <mergeCell ref="A1:H1"/>
    <mergeCell ref="A2:G2"/>
    <mergeCell ref="A3:D3"/>
    <mergeCell ref="E3:H3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2"/>
  <sheetViews>
    <sheetView view="pageBreakPreview" zoomScaleNormal="130" zoomScaleSheetLayoutView="100" zoomScalePageLayoutView="0" workbookViewId="0" topLeftCell="A2">
      <selection activeCell="E20" sqref="E20"/>
    </sheetView>
  </sheetViews>
  <sheetFormatPr defaultColWidth="9.00390625" defaultRowHeight="12.75"/>
  <cols>
    <col min="1" max="1" width="36.875" style="0" customWidth="1"/>
    <col min="2" max="2" width="13.375" style="0" customWidth="1"/>
    <col min="3" max="3" width="11.875" style="0" customWidth="1"/>
    <col min="4" max="4" width="12.75390625" style="0" customWidth="1"/>
    <col min="5" max="5" width="41.875" style="0" customWidth="1"/>
    <col min="6" max="7" width="14.375" style="0" customWidth="1"/>
    <col min="8" max="8" width="19.25390625" style="0" customWidth="1"/>
  </cols>
  <sheetData>
    <row r="1" spans="1:8" ht="12.75">
      <c r="A1" s="47" t="s">
        <v>82</v>
      </c>
      <c r="B1" s="47"/>
      <c r="C1" s="47"/>
      <c r="D1" s="47"/>
      <c r="E1" s="47"/>
      <c r="F1" s="47"/>
      <c r="G1" s="47"/>
      <c r="H1" s="47"/>
    </row>
    <row r="2" spans="1:8" ht="18">
      <c r="A2" s="41" t="s">
        <v>80</v>
      </c>
      <c r="B2" s="42"/>
      <c r="C2" s="42"/>
      <c r="D2" s="42"/>
      <c r="E2" s="42"/>
      <c r="F2" s="42"/>
      <c r="G2" s="43"/>
      <c r="H2" s="10">
        <f>'Август 2013'!H23</f>
        <v>32449.330000001006</v>
      </c>
    </row>
    <row r="3" spans="1:8" ht="18">
      <c r="A3" s="44" t="s">
        <v>24</v>
      </c>
      <c r="B3" s="44"/>
      <c r="C3" s="44"/>
      <c r="D3" s="44"/>
      <c r="E3" s="44" t="s">
        <v>25</v>
      </c>
      <c r="F3" s="44"/>
      <c r="G3" s="44"/>
      <c r="H3" s="44"/>
    </row>
    <row r="4" spans="1:8" ht="12.75">
      <c r="A4" s="2" t="s">
        <v>26</v>
      </c>
      <c r="B4" s="2" t="s">
        <v>23</v>
      </c>
      <c r="C4" s="2" t="s">
        <v>18</v>
      </c>
      <c r="D4" s="2" t="s">
        <v>27</v>
      </c>
      <c r="E4" s="2" t="s">
        <v>26</v>
      </c>
      <c r="F4" s="2" t="s">
        <v>23</v>
      </c>
      <c r="G4" s="2" t="s">
        <v>18</v>
      </c>
      <c r="H4" s="2" t="s">
        <v>27</v>
      </c>
    </row>
    <row r="5" spans="1:8" ht="12.75">
      <c r="A5" s="8" t="s">
        <v>30</v>
      </c>
      <c r="B5" s="3"/>
      <c r="C5" s="3">
        <f>40033.37+19929.9+9003.01-814+11018.09+20638.7+31405.62+12009.6+9833.68+27392.62+5502.9+20381.72+2646.37+7394.64+24.07+502.18+836.18+9300.17+24619.84+499.21+1441.96+21965.48</f>
        <v>275565.31</v>
      </c>
      <c r="D5" s="3">
        <f>SUM(B5:C5)</f>
        <v>275565.31</v>
      </c>
      <c r="E5" s="8" t="s">
        <v>1</v>
      </c>
      <c r="F5" s="3">
        <f>50000+40000+12000+12000+30000+30000+34728.06+9074.3+12756.18</f>
        <v>230558.53999999998</v>
      </c>
      <c r="G5" s="3"/>
      <c r="H5" s="3">
        <f>SUM(F5:G5)</f>
        <v>230558.53999999998</v>
      </c>
    </row>
    <row r="6" spans="1:8" ht="12.75">
      <c r="A6" s="8" t="s">
        <v>31</v>
      </c>
      <c r="B6" s="3">
        <f>279000+310000+696250+231480+338520</f>
        <v>1855250</v>
      </c>
      <c r="C6" s="3"/>
      <c r="D6" s="3">
        <f aca="true" t="shared" si="0" ref="D6:D19">SUM(B6:C6)</f>
        <v>1855250</v>
      </c>
      <c r="E6" s="8" t="s">
        <v>90</v>
      </c>
      <c r="F6" s="3">
        <f>10783.16+6043.96+54662.32+167208.68+22672.41+13560.21+32174.24+1145217.31+5000-34728.06+5000+257177.56+7625.47-G6-G7+1079416.29+7857.14</f>
        <v>1851947.93</v>
      </c>
      <c r="G6" s="3">
        <v>897722.76</v>
      </c>
      <c r="H6" s="3">
        <f aca="true" t="shared" si="1" ref="H6:H20">SUM(F6:G6)</f>
        <v>2749670.69</v>
      </c>
    </row>
    <row r="7" spans="1:8" ht="12.75">
      <c r="A7" s="8"/>
      <c r="B7" s="3"/>
      <c r="C7" s="3"/>
      <c r="D7" s="3"/>
      <c r="E7" s="8" t="s">
        <v>115</v>
      </c>
      <c r="F7" s="3"/>
      <c r="G7" s="3">
        <v>30000</v>
      </c>
      <c r="H7" s="3">
        <f t="shared" si="1"/>
        <v>30000</v>
      </c>
    </row>
    <row r="8" spans="1:8" ht="12.75">
      <c r="A8" s="8" t="s">
        <v>32</v>
      </c>
      <c r="B8" s="3"/>
      <c r="C8" s="3">
        <f>99198.75+395000+290000</f>
        <v>784198.75</v>
      </c>
      <c r="D8" s="3">
        <f t="shared" si="0"/>
        <v>784198.75</v>
      </c>
      <c r="E8" s="8" t="s">
        <v>38</v>
      </c>
      <c r="F8" s="3">
        <f>60+70+70+2200+250+481+60+35+2200+50+60+60</f>
        <v>5596</v>
      </c>
      <c r="G8" s="3">
        <f>2200+2200+2200+2200+2250+2200</f>
        <v>13250</v>
      </c>
      <c r="H8" s="3">
        <f t="shared" si="1"/>
        <v>18846</v>
      </c>
    </row>
    <row r="9" spans="1:8" ht="12.75">
      <c r="A9" s="8" t="s">
        <v>112</v>
      </c>
      <c r="B9" s="3">
        <f>164000+82000</f>
        <v>246000</v>
      </c>
      <c r="C9" s="3"/>
      <c r="D9" s="3">
        <f t="shared" si="0"/>
        <v>246000</v>
      </c>
      <c r="E9" s="8" t="s">
        <v>4</v>
      </c>
      <c r="F9" s="3">
        <f>724.97+1103.5+23121.45</f>
        <v>24949.920000000002</v>
      </c>
      <c r="G9" s="3">
        <f>500+962.3+7234.86+720+1000+500+4802.9+677.8+500+800+800-551.7+10500+494+616.3+180+1517+338.1+1973.5+946.1+600+3408.3+1499+240.48+3287.9+3000</f>
        <v>46546.840000000004</v>
      </c>
      <c r="H9" s="3">
        <f t="shared" si="1"/>
        <v>71496.76000000001</v>
      </c>
    </row>
    <row r="10" spans="1:8" ht="12.75">
      <c r="A10" s="8" t="s">
        <v>121</v>
      </c>
      <c r="B10" s="3">
        <v>16.81</v>
      </c>
      <c r="C10" s="3"/>
      <c r="D10" s="3">
        <f t="shared" si="0"/>
        <v>16.81</v>
      </c>
      <c r="E10" s="8" t="s">
        <v>39</v>
      </c>
      <c r="F10" s="3">
        <f>70+210</f>
        <v>280</v>
      </c>
      <c r="G10" s="3">
        <f>100+100+50+100+200+100+100</f>
        <v>750</v>
      </c>
      <c r="H10" s="3">
        <f t="shared" si="1"/>
        <v>1030</v>
      </c>
    </row>
    <row r="11" spans="1:8" ht="12.75">
      <c r="A11" s="8" t="s">
        <v>118</v>
      </c>
      <c r="B11" s="3">
        <v>1625</v>
      </c>
      <c r="C11" s="3"/>
      <c r="D11" s="3">
        <f t="shared" si="0"/>
        <v>1625</v>
      </c>
      <c r="E11" s="8" t="s">
        <v>6</v>
      </c>
      <c r="F11" s="3"/>
      <c r="G11" s="3">
        <v>1068</v>
      </c>
      <c r="H11" s="3">
        <f t="shared" si="1"/>
        <v>1068</v>
      </c>
    </row>
    <row r="12" spans="1:8" ht="12.75">
      <c r="A12" s="8" t="s">
        <v>116</v>
      </c>
      <c r="B12" s="3">
        <v>9530</v>
      </c>
      <c r="C12" s="3"/>
      <c r="D12" s="3">
        <f t="shared" si="0"/>
        <v>9530</v>
      </c>
      <c r="E12" s="8" t="s">
        <v>117</v>
      </c>
      <c r="F12" s="3"/>
      <c r="G12" s="3">
        <v>1000</v>
      </c>
      <c r="H12" s="3">
        <f t="shared" si="1"/>
        <v>1000</v>
      </c>
    </row>
    <row r="13" spans="1:8" ht="12.75">
      <c r="A13" s="8"/>
      <c r="B13" s="3"/>
      <c r="C13" s="3"/>
      <c r="D13" s="3">
        <f t="shared" si="0"/>
        <v>0</v>
      </c>
      <c r="E13" s="8" t="s">
        <v>40</v>
      </c>
      <c r="F13" s="3">
        <f>217.73</f>
        <v>217.73</v>
      </c>
      <c r="G13" s="3"/>
      <c r="H13" s="3">
        <f t="shared" si="1"/>
        <v>217.73</v>
      </c>
    </row>
    <row r="14" spans="1:8" ht="12.75">
      <c r="A14" s="8"/>
      <c r="B14" s="3"/>
      <c r="C14" s="3"/>
      <c r="D14" s="3">
        <f t="shared" si="0"/>
        <v>0</v>
      </c>
      <c r="E14" s="9" t="s">
        <v>101</v>
      </c>
      <c r="F14" s="3">
        <f>310</f>
        <v>310</v>
      </c>
      <c r="G14" s="3"/>
      <c r="H14" s="3">
        <f t="shared" si="1"/>
        <v>310</v>
      </c>
    </row>
    <row r="15" spans="1:8" ht="25.5">
      <c r="A15" s="8"/>
      <c r="B15" s="3"/>
      <c r="C15" s="3"/>
      <c r="D15" s="3">
        <f t="shared" si="0"/>
        <v>0</v>
      </c>
      <c r="E15" s="34" t="s">
        <v>122</v>
      </c>
      <c r="F15" s="3">
        <v>15743.69</v>
      </c>
      <c r="H15" s="3">
        <f t="shared" si="1"/>
        <v>15743.69</v>
      </c>
    </row>
    <row r="16" spans="1:8" ht="12.75">
      <c r="A16" s="8"/>
      <c r="B16" s="3"/>
      <c r="C16" s="3"/>
      <c r="D16" s="3">
        <f t="shared" si="0"/>
        <v>0</v>
      </c>
      <c r="E16" s="8" t="s">
        <v>119</v>
      </c>
      <c r="F16" s="3">
        <v>2710</v>
      </c>
      <c r="G16" s="3"/>
      <c r="H16" s="3">
        <f t="shared" si="1"/>
        <v>2710</v>
      </c>
    </row>
    <row r="17" spans="1:8" ht="12.75">
      <c r="A17" s="8"/>
      <c r="B17" s="3"/>
      <c r="C17" s="3"/>
      <c r="D17" s="3">
        <f t="shared" si="0"/>
        <v>0</v>
      </c>
      <c r="E17" s="8" t="s">
        <v>113</v>
      </c>
      <c r="F17" s="3">
        <v>600</v>
      </c>
      <c r="G17" s="32"/>
      <c r="H17" s="3">
        <f t="shared" si="1"/>
        <v>600</v>
      </c>
    </row>
    <row r="18" spans="1:8" ht="12.75">
      <c r="A18" s="8"/>
      <c r="B18" s="3"/>
      <c r="C18" s="3"/>
      <c r="D18" s="3"/>
      <c r="E18" s="8" t="s">
        <v>114</v>
      </c>
      <c r="F18" s="3"/>
      <c r="G18" s="3">
        <v>240</v>
      </c>
      <c r="H18" s="3">
        <f t="shared" si="1"/>
        <v>240</v>
      </c>
    </row>
    <row r="19" spans="1:8" ht="12.75">
      <c r="A19" s="8"/>
      <c r="B19" s="3"/>
      <c r="C19" s="2"/>
      <c r="D19" s="3">
        <f t="shared" si="0"/>
        <v>0</v>
      </c>
      <c r="E19" s="35" t="s">
        <v>123</v>
      </c>
      <c r="F19" s="3">
        <v>2704</v>
      </c>
      <c r="H19" s="3">
        <f t="shared" si="1"/>
        <v>2704</v>
      </c>
    </row>
    <row r="20" spans="1:8" ht="12.75">
      <c r="A20" s="13"/>
      <c r="B20" s="14"/>
      <c r="C20" s="33"/>
      <c r="D20" s="3"/>
      <c r="E20" s="13" t="s">
        <v>120</v>
      </c>
      <c r="F20" s="14"/>
      <c r="G20" s="31">
        <v>10910</v>
      </c>
      <c r="H20" s="3">
        <f t="shared" si="1"/>
        <v>10910</v>
      </c>
    </row>
    <row r="21" spans="1:8" ht="12.75">
      <c r="A21" s="36" t="s">
        <v>20</v>
      </c>
      <c r="B21" s="37"/>
      <c r="C21" s="38"/>
      <c r="D21" s="2">
        <f>SUM(D5:D19)</f>
        <v>3172185.87</v>
      </c>
      <c r="E21" s="36" t="s">
        <v>20</v>
      </c>
      <c r="F21" s="37"/>
      <c r="G21" s="37"/>
      <c r="H21" s="2">
        <f>SUM(H5:H20)</f>
        <v>3137105.41</v>
      </c>
    </row>
    <row r="22" spans="1:8" ht="18">
      <c r="A22" s="39" t="s">
        <v>81</v>
      </c>
      <c r="B22" s="39"/>
      <c r="C22" s="39"/>
      <c r="D22" s="39"/>
      <c r="E22" s="39"/>
      <c r="F22" s="39"/>
      <c r="G22" s="39"/>
      <c r="H22" s="12">
        <f>H2+D21-H21</f>
        <v>67529.79000000097</v>
      </c>
    </row>
  </sheetData>
  <sheetProtection/>
  <mergeCells count="7">
    <mergeCell ref="A21:C21"/>
    <mergeCell ref="E21:G21"/>
    <mergeCell ref="A22:G22"/>
    <mergeCell ref="A1:H1"/>
    <mergeCell ref="A2:G2"/>
    <mergeCell ref="A3:D3"/>
    <mergeCell ref="E3:H3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client_acc</dc:creator>
  <cp:keywords/>
  <dc:description/>
  <cp:lastModifiedBy>Надежда</cp:lastModifiedBy>
  <cp:lastPrinted>2013-10-23T07:31:50Z</cp:lastPrinted>
  <dcterms:created xsi:type="dcterms:W3CDTF">2013-07-18T06:37:41Z</dcterms:created>
  <dcterms:modified xsi:type="dcterms:W3CDTF">2014-06-29T06:38:16Z</dcterms:modified>
  <cp:category/>
  <cp:version/>
  <cp:contentType/>
  <cp:contentStatus/>
</cp:coreProperties>
</file>